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8130" tabRatio="794" firstSheet="1" activeTab="1"/>
  </bookViews>
  <sheets>
    <sheet name="Bieu 2 TH nganh, linh vuc" sheetId="2" state="hidden" r:id="rId1"/>
    <sheet name="Biểu tổng" sheetId="33" r:id="rId2"/>
    <sheet name="PLI.Candoi21.25" sheetId="20" r:id="rId3"/>
    <sheet name="Bieu 7 PPP" sheetId="4" state="hidden" r:id="rId4"/>
    <sheet name="Bieu 9 de lai" sheetId="5" state="hidden" r:id="rId5"/>
    <sheet name="Bieu 10 TDDTPT" sheetId="6" state="hidden" r:id="rId6"/>
    <sheet name="Bieu 11 TPCQDP" sheetId="7" state="hidden" r:id="rId7"/>
    <sheet name="PLII.XSKT21.25" sheetId="22" r:id="rId8"/>
    <sheet name="Bieu15 da ky" sheetId="9" state="hidden" r:id="rId9"/>
    <sheet name="Bieu16 chua ky" sheetId="10" state="hidden" r:id="rId10"/>
    <sheet name="Bieu17 keu goi" sheetId="11" state="hidden" r:id="rId11"/>
    <sheet name="BM18 Chi tiet TPCP" sheetId="12" state="hidden" r:id="rId12"/>
    <sheet name="BC trung han DP" sheetId="13" state="hidden" r:id="rId13"/>
    <sheet name="Bieu25 TH nganh, linh vuc" sheetId="15" state="hidden" r:id="rId14"/>
    <sheet name="BM25" sheetId="16" state="hidden" r:id="rId15"/>
    <sheet name="PLII.a NTM 1000 ty" sheetId="30" r:id="rId16"/>
    <sheet name="PLII.b.Tất toán" sheetId="29" r:id="rId17"/>
    <sheet name="PLII.c.Thay sach" sheetId="23" r:id="rId18"/>
    <sheet name="PLIII. NTM vốn TƯ" sheetId="31" r:id="rId19"/>
    <sheet name="PLIV. GN vốn TƯ" sheetId="32" r:id="rId20"/>
  </sheets>
  <definedNames>
    <definedName name="_Fill" localSheetId="2" hidden="1">#REF!</definedName>
    <definedName name="_Fill" hidden="1">#REF!</definedName>
    <definedName name="_xlnm._FilterDatabase" localSheetId="6" hidden="1">'Bieu 11 TPCQDP'!$A$1:$AZ$71</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CLVC3">0.1</definedName>
    <definedName name="h" hidden="1">{"'Sheet1'!$L$16"}</definedName>
    <definedName name="Heä_soá_laép_xaø_H">1.7</definedName>
    <definedName name="HSCT3">0.1</definedName>
    <definedName name="HSDN">2.5</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_xlnm.Print_Area" localSheetId="12">'BC trung han DP'!$A$1:$M$72</definedName>
    <definedName name="_xlnm.Print_Area" localSheetId="5">'Bieu 10 TDDTPT'!$A$1:$S$50</definedName>
    <definedName name="_xlnm.Print_Area" localSheetId="6">'Bieu 11 TPCQDP'!$A$1:$AZ$72</definedName>
    <definedName name="_xlnm.Print_Area" localSheetId="0">'Bieu 2 TH nganh, linh vuc'!$A$1:$AQ$33</definedName>
    <definedName name="_xlnm.Print_Area" localSheetId="3">'Bieu 7 PPP'!$A$1:$AP$46</definedName>
    <definedName name="_xlnm.Print_Area" localSheetId="4">'Bieu 9 de lai'!$A$1:$S$51</definedName>
    <definedName name="_xlnm.Print_Area" localSheetId="8">'Bieu15 da ky'!$A$1:$AR$38</definedName>
    <definedName name="_xlnm.Print_Area" localSheetId="9">'Bieu16 chua ky'!$A$1:$Y$31</definedName>
    <definedName name="_xlnm.Print_Area" localSheetId="10">'Bieu17 keu goi'!$A$1:$W$31</definedName>
    <definedName name="_xlnm.Print_Area" localSheetId="13">'Bieu25 TH nganh, linh vuc'!$A$1:$AQ$33</definedName>
    <definedName name="_xlnm.Print_Area" localSheetId="11">'BM18 Chi tiet TPCP'!$A$1:$AO$46</definedName>
    <definedName name="_xlnm.Print_Area" localSheetId="2">PLI.Candoi21.25!$A$1:$AB$150</definedName>
    <definedName name="_xlnm.Print_Area" localSheetId="15">'PLII.a NTM 1000 ty'!$A$1:$S$300</definedName>
    <definedName name="_xlnm.Print_Area" localSheetId="17">'PLII.c.Thay sach'!$A$1:$P$113</definedName>
    <definedName name="_xlnm.Print_Area" localSheetId="7">PLII.XSKT21.25!$A$1:$S$251</definedName>
    <definedName name="_xlnm.Print_Titles" localSheetId="12">'BC trung han DP'!$6:$8</definedName>
    <definedName name="_xlnm.Print_Titles" localSheetId="5">'Bieu 10 TDDTPT'!$6:$10</definedName>
    <definedName name="_xlnm.Print_Titles" localSheetId="6">'Bieu 11 TPCQDP'!$A:$B,'Bieu 11 TPCQDP'!$6:$10</definedName>
    <definedName name="_xlnm.Print_Titles" localSheetId="0">'Bieu 2 TH nganh, linh vuc'!$A:$B,'Bieu 2 TH nganh, linh vuc'!$6:$10</definedName>
    <definedName name="_xlnm.Print_Titles" localSheetId="3">'Bieu 7 PPP'!$6:$11</definedName>
    <definedName name="_xlnm.Print_Titles" localSheetId="4">'Bieu 9 de lai'!$A:$B,'Bieu 9 de lai'!$6:$10</definedName>
    <definedName name="_xlnm.Print_Titles" localSheetId="8">'Bieu15 da ky'!$A:$B,'Bieu15 da ky'!$6:$13</definedName>
    <definedName name="_xlnm.Print_Titles" localSheetId="9">'Bieu16 chua ky'!$A:$B,'Bieu16 chua ky'!$6:$13</definedName>
    <definedName name="_xlnm.Print_Titles" localSheetId="10">'Bieu17 keu goi'!$A:$B,'Bieu17 keu goi'!$6:$13</definedName>
    <definedName name="_xlnm.Print_Titles" localSheetId="13">'Bieu25 TH nganh, linh vuc'!$A:$B,'Bieu25 TH nganh, linh vuc'!$6:$10</definedName>
    <definedName name="_xlnm.Print_Titles" localSheetId="11">'BM18 Chi tiet TPCP'!$6:$10</definedName>
    <definedName name="_xlnm.Print_Titles" localSheetId="14">'BM25'!$6:$12</definedName>
    <definedName name="_xlnm.Print_Titles" localSheetId="2">PLI.Candoi21.25!$A:$B,PLI.Candoi21.25!$5:$9</definedName>
    <definedName name="_xlnm.Print_Titles" localSheetId="15">'PLII.a NTM 1000 ty'!$5:$9</definedName>
    <definedName name="_xlnm.Print_Titles" localSheetId="16">'PLII.b.Tất toán'!$5:$6</definedName>
    <definedName name="_xlnm.Print_Titles" localSheetId="17">'PLII.c.Thay sach'!$5:$8</definedName>
    <definedName name="_xlnm.Print_Titles" localSheetId="7">PLII.XSKT21.25!$5:$10</definedName>
    <definedName name="TaxTV">10%</definedName>
    <definedName name="TaxXL">5%</definedName>
    <definedName name="wrn.chi._.tiÆt." hidden="1">{#N/A,#N/A,FALSE,"Chi tiÆt"}</definedName>
    <definedName name="XCCT">0.5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3" l="1"/>
  <c r="E9" i="33"/>
  <c r="F9" i="33"/>
  <c r="G9" i="33"/>
  <c r="H9" i="33"/>
  <c r="C9" i="33"/>
  <c r="D17" i="33"/>
  <c r="E18" i="33"/>
  <c r="H18" i="33" s="1"/>
  <c r="H17" i="33" s="1"/>
  <c r="D21" i="33"/>
  <c r="G21" i="33"/>
  <c r="F24" i="33"/>
  <c r="C24" i="33"/>
  <c r="F23" i="33"/>
  <c r="F21" i="33" s="1"/>
  <c r="C23" i="33"/>
  <c r="G30" i="33"/>
  <c r="F30" i="33" s="1"/>
  <c r="G29" i="33"/>
  <c r="F29" i="33" s="1"/>
  <c r="F13" i="33"/>
  <c r="G27" i="33"/>
  <c r="F27" i="33" s="1"/>
  <c r="G26" i="33"/>
  <c r="F26" i="33" s="1"/>
  <c r="G18" i="33"/>
  <c r="G17" i="33" s="1"/>
  <c r="G16" i="33"/>
  <c r="F16" i="33" s="1"/>
  <c r="G15" i="33"/>
  <c r="F15" i="33" s="1"/>
  <c r="G14" i="33"/>
  <c r="F14" i="33" s="1"/>
  <c r="G12" i="33"/>
  <c r="F12" i="33" s="1"/>
  <c r="D28" i="33"/>
  <c r="D25" i="33" s="1"/>
  <c r="C27" i="33"/>
  <c r="C26" i="33"/>
  <c r="C16" i="33"/>
  <c r="C15" i="33"/>
  <c r="C14" i="33"/>
  <c r="C12" i="33"/>
  <c r="D11" i="33"/>
  <c r="C28" i="33" l="1"/>
  <c r="C25" i="33" s="1"/>
  <c r="C21" i="33"/>
  <c r="E17" i="33"/>
  <c r="E10" i="33" s="1"/>
  <c r="C18" i="33"/>
  <c r="C17" i="33" s="1"/>
  <c r="C11" i="33"/>
  <c r="C10" i="33" s="1"/>
  <c r="G28" i="33"/>
  <c r="F28" i="33" s="1"/>
  <c r="F25" i="33" s="1"/>
  <c r="D10" i="33"/>
  <c r="F11" i="33"/>
  <c r="H10" i="33"/>
  <c r="G11" i="33"/>
  <c r="G25" i="33" l="1"/>
  <c r="G10" i="33"/>
  <c r="F18" i="33"/>
  <c r="K186" i="32"/>
  <c r="P185" i="32"/>
  <c r="M185" i="32"/>
  <c r="K185" i="32"/>
  <c r="P184" i="32"/>
  <c r="M184" i="32"/>
  <c r="K184" i="32"/>
  <c r="P183" i="32"/>
  <c r="M183" i="32"/>
  <c r="K183" i="32"/>
  <c r="P182" i="32"/>
  <c r="M182" i="32"/>
  <c r="K182" i="32"/>
  <c r="P181" i="32"/>
  <c r="M181" i="32"/>
  <c r="K181" i="32"/>
  <c r="P180" i="32"/>
  <c r="P178" i="32" s="1"/>
  <c r="P177" i="32" s="1"/>
  <c r="M180" i="32"/>
  <c r="K180" i="32"/>
  <c r="O178" i="32"/>
  <c r="N178" i="32"/>
  <c r="N177" i="32" s="1"/>
  <c r="L178" i="32"/>
  <c r="L177" i="32" s="1"/>
  <c r="J178" i="32"/>
  <c r="J177" i="32" s="1"/>
  <c r="O177" i="32"/>
  <c r="O176" i="32"/>
  <c r="K176" i="32"/>
  <c r="P175" i="32"/>
  <c r="K175" i="32"/>
  <c r="P174" i="32"/>
  <c r="M174" i="32"/>
  <c r="K174" i="32"/>
  <c r="O173" i="32"/>
  <c r="K173" i="32"/>
  <c r="O172" i="32"/>
  <c r="K172" i="32"/>
  <c r="O171" i="32"/>
  <c r="N170" i="32"/>
  <c r="M170" i="32"/>
  <c r="L170" i="32"/>
  <c r="J170" i="32"/>
  <c r="O169" i="32"/>
  <c r="K169" i="32"/>
  <c r="O168" i="32"/>
  <c r="K168" i="32"/>
  <c r="P167" i="32"/>
  <c r="M167" i="32"/>
  <c r="M163" i="32" s="1"/>
  <c r="K167" i="32"/>
  <c r="P166" i="32"/>
  <c r="K166" i="32"/>
  <c r="O165" i="32"/>
  <c r="K165" i="32"/>
  <c r="O164" i="32"/>
  <c r="N163" i="32"/>
  <c r="L163" i="32"/>
  <c r="J163" i="32"/>
  <c r="O162" i="32"/>
  <c r="K162" i="32"/>
  <c r="P161" i="32"/>
  <c r="M161" i="32"/>
  <c r="K161" i="32"/>
  <c r="P160" i="32"/>
  <c r="M160" i="32"/>
  <c r="K160" i="32"/>
  <c r="L159" i="32"/>
  <c r="O159" i="32" s="1"/>
  <c r="O157" i="32" s="1"/>
  <c r="K159" i="32"/>
  <c r="O158" i="32"/>
  <c r="N157" i="32"/>
  <c r="M157" i="32"/>
  <c r="J157" i="32"/>
  <c r="O156" i="32"/>
  <c r="K156" i="32"/>
  <c r="P155" i="32"/>
  <c r="K155" i="32"/>
  <c r="P154" i="32"/>
  <c r="P150" i="32" s="1"/>
  <c r="K154" i="32"/>
  <c r="K150" i="32" s="1"/>
  <c r="L153" i="32"/>
  <c r="O153" i="32" s="1"/>
  <c r="K153" i="32"/>
  <c r="L152" i="32"/>
  <c r="K152" i="32"/>
  <c r="O151" i="32"/>
  <c r="N150" i="32"/>
  <c r="M150" i="32"/>
  <c r="J150" i="32"/>
  <c r="O149" i="32"/>
  <c r="K149" i="32"/>
  <c r="P148" i="32"/>
  <c r="K148" i="32"/>
  <c r="P147" i="32"/>
  <c r="K147" i="32"/>
  <c r="P146" i="32"/>
  <c r="K146" i="32"/>
  <c r="P145" i="32"/>
  <c r="K145" i="32"/>
  <c r="L144" i="32"/>
  <c r="O144" i="32" s="1"/>
  <c r="O142" i="32" s="1"/>
  <c r="K144" i="32"/>
  <c r="O143" i="32"/>
  <c r="N142" i="32"/>
  <c r="M142" i="32"/>
  <c r="J142" i="32"/>
  <c r="O141" i="32"/>
  <c r="K141" i="32"/>
  <c r="P140" i="32"/>
  <c r="K140" i="32"/>
  <c r="O139" i="32"/>
  <c r="K139" i="32"/>
  <c r="O138" i="32"/>
  <c r="K138" i="32"/>
  <c r="O137" i="32"/>
  <c r="M137" i="32"/>
  <c r="K137" i="32"/>
  <c r="P136" i="32"/>
  <c r="P131" i="32" s="1"/>
  <c r="M136" i="32"/>
  <c r="K136" i="32"/>
  <c r="L135" i="32"/>
  <c r="O135" i="32" s="1"/>
  <c r="K135" i="32"/>
  <c r="O134" i="32"/>
  <c r="K133" i="32"/>
  <c r="O132" i="32"/>
  <c r="N131" i="32"/>
  <c r="L131" i="32"/>
  <c r="J131" i="32"/>
  <c r="O130" i="32"/>
  <c r="K130" i="32"/>
  <c r="P129" i="32"/>
  <c r="K129" i="32"/>
  <c r="O128" i="32"/>
  <c r="K128" i="32"/>
  <c r="P127" i="32"/>
  <c r="K127" i="32"/>
  <c r="P126" i="32"/>
  <c r="M126" i="32"/>
  <c r="K126" i="32"/>
  <c r="L125" i="32"/>
  <c r="O125" i="32" s="1"/>
  <c r="K125" i="32"/>
  <c r="M124" i="32"/>
  <c r="M120" i="32" s="1"/>
  <c r="L124" i="32"/>
  <c r="K124" i="32"/>
  <c r="O123" i="32"/>
  <c r="O122" i="32"/>
  <c r="K122" i="32"/>
  <c r="O121" i="32"/>
  <c r="N120" i="32"/>
  <c r="J120" i="32"/>
  <c r="O119" i="32"/>
  <c r="K119" i="32"/>
  <c r="O118" i="32"/>
  <c r="K118" i="32"/>
  <c r="P117" i="32"/>
  <c r="K117" i="32"/>
  <c r="P116" i="32"/>
  <c r="K116" i="32"/>
  <c r="P115" i="32"/>
  <c r="P109" i="32" s="1"/>
  <c r="M115" i="32"/>
  <c r="K115" i="32"/>
  <c r="L114" i="32"/>
  <c r="O114" i="32" s="1"/>
  <c r="K114" i="32"/>
  <c r="L113" i="32"/>
  <c r="L109" i="32" s="1"/>
  <c r="K113" i="32"/>
  <c r="O112" i="32"/>
  <c r="O111" i="32"/>
  <c r="K111" i="32"/>
  <c r="O110" i="32"/>
  <c r="N109" i="32"/>
  <c r="M109" i="32"/>
  <c r="J109" i="32"/>
  <c r="O108" i="32"/>
  <c r="K108" i="32"/>
  <c r="P107" i="32"/>
  <c r="K107" i="32"/>
  <c r="P106" i="32"/>
  <c r="K106" i="32"/>
  <c r="P105" i="32"/>
  <c r="P99" i="32" s="1"/>
  <c r="M105" i="32"/>
  <c r="M99" i="32" s="1"/>
  <c r="K105" i="32"/>
  <c r="L104" i="32"/>
  <c r="O104" i="32" s="1"/>
  <c r="K104" i="32"/>
  <c r="L103" i="32"/>
  <c r="K103" i="32"/>
  <c r="O102" i="32"/>
  <c r="O101" i="32"/>
  <c r="K101" i="32"/>
  <c r="K99" i="32" s="1"/>
  <c r="N99" i="32"/>
  <c r="J99" i="32"/>
  <c r="O97" i="32"/>
  <c r="O92" i="32" s="1"/>
  <c r="K97" i="32"/>
  <c r="P96" i="32"/>
  <c r="P92" i="32" s="1"/>
  <c r="P72" i="32" s="1"/>
  <c r="M96" i="32"/>
  <c r="K96" i="32"/>
  <c r="O95" i="32"/>
  <c r="M95" i="32"/>
  <c r="K95" i="32"/>
  <c r="K92" i="32" s="1"/>
  <c r="M94" i="32"/>
  <c r="K94" i="32"/>
  <c r="O93" i="32"/>
  <c r="N92" i="32"/>
  <c r="L92" i="32"/>
  <c r="J92" i="32"/>
  <c r="O91" i="32"/>
  <c r="K91" i="32"/>
  <c r="O90" i="32"/>
  <c r="M90" i="32"/>
  <c r="K90" i="32"/>
  <c r="O89" i="32"/>
  <c r="M89" i="32"/>
  <c r="K89" i="32"/>
  <c r="M88" i="32"/>
  <c r="L88" i="32"/>
  <c r="O88" i="32" s="1"/>
  <c r="K88" i="32"/>
  <c r="O87" i="32"/>
  <c r="M87" i="32"/>
  <c r="M83" i="32" s="1"/>
  <c r="L87" i="32"/>
  <c r="K87" i="32"/>
  <c r="O86" i="32"/>
  <c r="L85" i="32"/>
  <c r="K85" i="32"/>
  <c r="O84" i="32"/>
  <c r="P83" i="32"/>
  <c r="N83" i="32"/>
  <c r="L83" i="32"/>
  <c r="J83" i="32"/>
  <c r="O82" i="32"/>
  <c r="K82" i="32"/>
  <c r="O81" i="32"/>
  <c r="K81" i="32"/>
  <c r="O80" i="32"/>
  <c r="K80" i="32"/>
  <c r="O79" i="32"/>
  <c r="K79" i="32"/>
  <c r="O78" i="32"/>
  <c r="M78" i="32"/>
  <c r="K78" i="32"/>
  <c r="O77" i="32"/>
  <c r="M77" i="32"/>
  <c r="K77" i="32"/>
  <c r="O76" i="32"/>
  <c r="K75" i="32"/>
  <c r="P73" i="32"/>
  <c r="N73" i="32"/>
  <c r="L73" i="32"/>
  <c r="J73" i="32"/>
  <c r="O71" i="32"/>
  <c r="K71" i="32"/>
  <c r="P70" i="32"/>
  <c r="K70" i="32"/>
  <c r="K67" i="32" s="1"/>
  <c r="P69" i="32"/>
  <c r="M69" i="32"/>
  <c r="K69" i="32"/>
  <c r="P68" i="32"/>
  <c r="O68" i="32"/>
  <c r="O67" i="32"/>
  <c r="N67" i="32"/>
  <c r="M67" i="32"/>
  <c r="L67" i="32"/>
  <c r="J67" i="32"/>
  <c r="O66" i="32"/>
  <c r="K66" i="32"/>
  <c r="P65" i="32"/>
  <c r="K65" i="32"/>
  <c r="P64" i="32"/>
  <c r="K64" i="32"/>
  <c r="P63" i="32"/>
  <c r="O63" i="32"/>
  <c r="O61" i="32" s="1"/>
  <c r="M63" i="32"/>
  <c r="M61" i="32" s="1"/>
  <c r="K63" i="32"/>
  <c r="P62" i="32"/>
  <c r="O62" i="32"/>
  <c r="N61" i="32"/>
  <c r="L61" i="32"/>
  <c r="J61" i="32"/>
  <c r="O60" i="32"/>
  <c r="K60" i="32"/>
  <c r="P59" i="32"/>
  <c r="O59" i="32"/>
  <c r="K59" i="32"/>
  <c r="P58" i="32"/>
  <c r="O58" i="32"/>
  <c r="K58" i="32"/>
  <c r="P57" i="32"/>
  <c r="K57" i="32"/>
  <c r="P56" i="32"/>
  <c r="K56" i="32"/>
  <c r="P55" i="32"/>
  <c r="O55" i="32"/>
  <c r="K55" i="32"/>
  <c r="P54" i="32"/>
  <c r="O54" i="32"/>
  <c r="K54" i="32"/>
  <c r="P53" i="32"/>
  <c r="O53" i="32"/>
  <c r="N52" i="32"/>
  <c r="M52" i="32"/>
  <c r="L52" i="32"/>
  <c r="J52" i="32"/>
  <c r="P51" i="32"/>
  <c r="K51" i="32"/>
  <c r="O50" i="32"/>
  <c r="K50" i="32"/>
  <c r="P49" i="32"/>
  <c r="O49" i="32"/>
  <c r="K49" i="32"/>
  <c r="P48" i="32"/>
  <c r="K48" i="32"/>
  <c r="P47" i="32"/>
  <c r="O47" i="32"/>
  <c r="O44" i="32" s="1"/>
  <c r="M47" i="32"/>
  <c r="M44" i="32" s="1"/>
  <c r="K47" i="32"/>
  <c r="P46" i="32"/>
  <c r="O46" i="32"/>
  <c r="K46" i="32"/>
  <c r="P45" i="32"/>
  <c r="O45" i="32"/>
  <c r="N44" i="32"/>
  <c r="L44" i="32"/>
  <c r="J44" i="32"/>
  <c r="O43" i="32"/>
  <c r="K43" i="32"/>
  <c r="P42" i="32"/>
  <c r="K42" i="32"/>
  <c r="O41" i="32"/>
  <c r="K41" i="32"/>
  <c r="P40" i="32"/>
  <c r="P37" i="32" s="1"/>
  <c r="O40" i="32"/>
  <c r="O37" i="32" s="1"/>
  <c r="K40" i="32"/>
  <c r="P39" i="32"/>
  <c r="O39" i="32"/>
  <c r="M39" i="32"/>
  <c r="M37" i="32" s="1"/>
  <c r="K39" i="32"/>
  <c r="P38" i="32"/>
  <c r="O38" i="32"/>
  <c r="N37" i="32"/>
  <c r="L37" i="32"/>
  <c r="J37" i="32"/>
  <c r="P36" i="32"/>
  <c r="K36" i="32"/>
  <c r="O35" i="32"/>
  <c r="K35" i="32"/>
  <c r="P34" i="32"/>
  <c r="K34" i="32"/>
  <c r="P33" i="32"/>
  <c r="K33" i="32"/>
  <c r="P32" i="32"/>
  <c r="O32" i="32"/>
  <c r="K32" i="32"/>
  <c r="P31" i="32"/>
  <c r="P29" i="32" s="1"/>
  <c r="O31" i="32"/>
  <c r="K31" i="32"/>
  <c r="P30" i="32"/>
  <c r="O30" i="32"/>
  <c r="N29" i="32"/>
  <c r="M29" i="32"/>
  <c r="L29" i="32"/>
  <c r="O28" i="32"/>
  <c r="K28" i="32"/>
  <c r="P27" i="32"/>
  <c r="K27" i="32"/>
  <c r="P26" i="32"/>
  <c r="K26" i="32"/>
  <c r="O25" i="32"/>
  <c r="K25" i="32"/>
  <c r="P24" i="32"/>
  <c r="K24" i="32"/>
  <c r="P23" i="32"/>
  <c r="M23" i="32"/>
  <c r="K23" i="32"/>
  <c r="P22" i="32"/>
  <c r="M22" i="32"/>
  <c r="K22" i="32"/>
  <c r="K20" i="32" s="1"/>
  <c r="P21" i="32"/>
  <c r="O21" i="32"/>
  <c r="O20" i="32"/>
  <c r="N20" i="32"/>
  <c r="M20" i="32"/>
  <c r="L20" i="32"/>
  <c r="J20" i="32"/>
  <c r="O19" i="32"/>
  <c r="K19" i="32"/>
  <c r="P18" i="32"/>
  <c r="K18" i="32"/>
  <c r="O17" i="32"/>
  <c r="K17" i="32"/>
  <c r="P16" i="32"/>
  <c r="M16" i="32"/>
  <c r="M11" i="32" s="1"/>
  <c r="K16" i="32"/>
  <c r="P15" i="32"/>
  <c r="O15" i="32"/>
  <c r="K15" i="32"/>
  <c r="P14" i="32"/>
  <c r="O14" i="32"/>
  <c r="O13" i="32"/>
  <c r="K13" i="32"/>
  <c r="N11" i="32"/>
  <c r="L11" i="32"/>
  <c r="J11" i="32"/>
  <c r="T10" i="31"/>
  <c r="S20" i="31"/>
  <c r="U41" i="31"/>
  <c r="U39" i="31" s="1"/>
  <c r="U43" i="31"/>
  <c r="U44" i="31"/>
  <c r="S45" i="31"/>
  <c r="U45" i="31"/>
  <c r="S46" i="31"/>
  <c r="U46" i="31"/>
  <c r="S149" i="31"/>
  <c r="T149" i="31"/>
  <c r="U149" i="31"/>
  <c r="V149" i="31"/>
  <c r="W149" i="31"/>
  <c r="X149" i="31"/>
  <c r="Y149" i="31"/>
  <c r="Z149" i="31"/>
  <c r="AA149" i="31"/>
  <c r="S172" i="31"/>
  <c r="T172" i="31"/>
  <c r="U172" i="31"/>
  <c r="V172" i="31"/>
  <c r="W172" i="31"/>
  <c r="X172" i="31"/>
  <c r="Y172" i="31"/>
  <c r="Z172" i="31"/>
  <c r="AA172" i="31"/>
  <c r="S183" i="31"/>
  <c r="T183" i="31"/>
  <c r="U183" i="31"/>
  <c r="V183" i="31"/>
  <c r="W183" i="31"/>
  <c r="X183" i="31"/>
  <c r="Y183" i="31"/>
  <c r="Z183" i="31"/>
  <c r="AA183" i="31"/>
  <c r="N243" i="31"/>
  <c r="L243" i="31"/>
  <c r="K242" i="31"/>
  <c r="O241" i="31"/>
  <c r="K241" i="31"/>
  <c r="K240" i="31"/>
  <c r="K239" i="31"/>
  <c r="K238" i="31"/>
  <c r="K237" i="31"/>
  <c r="K236" i="31"/>
  <c r="O233" i="31"/>
  <c r="O232" i="31" s="1"/>
  <c r="K235" i="31"/>
  <c r="K234" i="31"/>
  <c r="P233" i="31"/>
  <c r="P232" i="31" s="1"/>
  <c r="N233" i="31"/>
  <c r="N232" i="31" s="1"/>
  <c r="M233" i="31"/>
  <c r="M232" i="31" s="1"/>
  <c r="L233" i="31"/>
  <c r="L232" i="31" s="1"/>
  <c r="J233" i="31"/>
  <c r="J232" i="31" s="1"/>
  <c r="K231" i="31"/>
  <c r="M230" i="31"/>
  <c r="K230" i="31"/>
  <c r="M229" i="31"/>
  <c r="K229" i="31"/>
  <c r="M228" i="31"/>
  <c r="K228" i="31"/>
  <c r="M227" i="31"/>
  <c r="K227" i="31"/>
  <c r="O226" i="31"/>
  <c r="M226" i="31"/>
  <c r="K226" i="31"/>
  <c r="M225" i="31"/>
  <c r="K225" i="31"/>
  <c r="M224" i="31"/>
  <c r="K224" i="31"/>
  <c r="M223" i="31"/>
  <c r="K223" i="31"/>
  <c r="O222" i="31"/>
  <c r="M222" i="31"/>
  <c r="K222" i="31"/>
  <c r="K221" i="31"/>
  <c r="K220" i="31"/>
  <c r="M219" i="31"/>
  <c r="K219" i="31"/>
  <c r="K218" i="31"/>
  <c r="M217" i="31"/>
  <c r="K217" i="31"/>
  <c r="M216" i="31"/>
  <c r="K216" i="31"/>
  <c r="M215" i="31"/>
  <c r="K215" i="31"/>
  <c r="M214" i="31"/>
  <c r="K214" i="31"/>
  <c r="M213" i="31"/>
  <c r="K213" i="31"/>
  <c r="K212" i="31"/>
  <c r="M211" i="31"/>
  <c r="K211" i="31"/>
  <c r="K210" i="31"/>
  <c r="M209" i="31"/>
  <c r="K209" i="31"/>
  <c r="O208" i="31"/>
  <c r="M208" i="31"/>
  <c r="K208" i="31"/>
  <c r="M207" i="31"/>
  <c r="K207" i="31"/>
  <c r="K206" i="31"/>
  <c r="M205" i="31"/>
  <c r="K205" i="31"/>
  <c r="K204" i="31"/>
  <c r="M203" i="31"/>
  <c r="K203" i="31"/>
  <c r="M202" i="31"/>
  <c r="K202" i="31"/>
  <c r="K201" i="31"/>
  <c r="M200" i="31"/>
  <c r="K200" i="31"/>
  <c r="M199" i="31"/>
  <c r="K199" i="31"/>
  <c r="M198" i="31"/>
  <c r="K198" i="31"/>
  <c r="M197" i="31"/>
  <c r="K197" i="31"/>
  <c r="M196" i="31"/>
  <c r="K196" i="31"/>
  <c r="M195" i="31"/>
  <c r="K195" i="31"/>
  <c r="M194" i="31"/>
  <c r="K194" i="31"/>
  <c r="M193" i="31"/>
  <c r="K193" i="31"/>
  <c r="M192" i="31"/>
  <c r="K192" i="31"/>
  <c r="N191" i="31"/>
  <c r="N184" i="31" s="1"/>
  <c r="N183" i="31" s="1"/>
  <c r="M191" i="31"/>
  <c r="K191" i="31"/>
  <c r="M190" i="31"/>
  <c r="K190" i="31"/>
  <c r="M189" i="31"/>
  <c r="K189" i="31"/>
  <c r="M188" i="31"/>
  <c r="K188" i="31"/>
  <c r="M187" i="31"/>
  <c r="K187" i="31"/>
  <c r="K186" i="31"/>
  <c r="K185" i="31"/>
  <c r="P184" i="31"/>
  <c r="P183" i="31" s="1"/>
  <c r="L184" i="31"/>
  <c r="L183" i="31" s="1"/>
  <c r="J184" i="31"/>
  <c r="J183" i="31" s="1"/>
  <c r="N182" i="31"/>
  <c r="N173" i="31" s="1"/>
  <c r="N172" i="31" s="1"/>
  <c r="K182" i="31"/>
  <c r="M181" i="31"/>
  <c r="M180" i="31"/>
  <c r="K180" i="31"/>
  <c r="M179" i="31"/>
  <c r="K179" i="31"/>
  <c r="M178" i="31"/>
  <c r="K178" i="31"/>
  <c r="M177" i="31"/>
  <c r="K177" i="31"/>
  <c r="M176" i="31"/>
  <c r="K176" i="31"/>
  <c r="P175" i="31"/>
  <c r="P173" i="31" s="1"/>
  <c r="M175" i="31"/>
  <c r="K175" i="31"/>
  <c r="M174" i="31"/>
  <c r="K174" i="31"/>
  <c r="O173" i="31"/>
  <c r="O172" i="31" s="1"/>
  <c r="L173" i="31"/>
  <c r="L172" i="31" s="1"/>
  <c r="J173" i="31"/>
  <c r="J172" i="31" s="1"/>
  <c r="K171" i="31"/>
  <c r="O170" i="31"/>
  <c r="M170" i="31"/>
  <c r="K170" i="31"/>
  <c r="M169" i="31"/>
  <c r="K169" i="31"/>
  <c r="K168" i="31"/>
  <c r="K167" i="31"/>
  <c r="K166" i="31"/>
  <c r="O165" i="31"/>
  <c r="M165" i="31"/>
  <c r="K165" i="31"/>
  <c r="K164" i="31"/>
  <c r="K163" i="31"/>
  <c r="O162" i="31"/>
  <c r="K162" i="31"/>
  <c r="K161" i="31"/>
  <c r="K160" i="31"/>
  <c r="M159" i="31"/>
  <c r="K159" i="31"/>
  <c r="M158" i="31"/>
  <c r="K158" i="31"/>
  <c r="M157" i="31"/>
  <c r="K157" i="31"/>
  <c r="M156" i="31"/>
  <c r="K156" i="31"/>
  <c r="M155" i="31"/>
  <c r="K155" i="31"/>
  <c r="M154" i="31"/>
  <c r="K154" i="31"/>
  <c r="K153" i="31"/>
  <c r="M152" i="31"/>
  <c r="K152" i="31"/>
  <c r="K151" i="31"/>
  <c r="P150" i="31"/>
  <c r="P149" i="31" s="1"/>
  <c r="N150" i="31"/>
  <c r="N149" i="31" s="1"/>
  <c r="L150" i="31"/>
  <c r="L149" i="31" s="1"/>
  <c r="J150" i="31"/>
  <c r="J149" i="31" s="1"/>
  <c r="K148" i="31"/>
  <c r="K147" i="31"/>
  <c r="K146" i="31"/>
  <c r="K145" i="31"/>
  <c r="K144" i="31"/>
  <c r="K143" i="31"/>
  <c r="N142" i="31"/>
  <c r="K142" i="31"/>
  <c r="K141" i="31"/>
  <c r="N140" i="31"/>
  <c r="K140" i="31"/>
  <c r="K136" i="31"/>
  <c r="N135" i="31"/>
  <c r="K135" i="31"/>
  <c r="K134" i="31"/>
  <c r="O133" i="31"/>
  <c r="K133" i="31"/>
  <c r="O132" i="31"/>
  <c r="N132" i="31"/>
  <c r="K132" i="31"/>
  <c r="N131" i="31"/>
  <c r="K131" i="31"/>
  <c r="K130" i="31"/>
  <c r="O129" i="31"/>
  <c r="M129" i="31"/>
  <c r="K129" i="31"/>
  <c r="N128" i="31"/>
  <c r="M128" i="31"/>
  <c r="K128" i="31"/>
  <c r="O127" i="31"/>
  <c r="K127" i="31"/>
  <c r="N126" i="31"/>
  <c r="K126" i="31"/>
  <c r="N125" i="31"/>
  <c r="M125" i="31"/>
  <c r="K125" i="31"/>
  <c r="K124" i="31"/>
  <c r="K123" i="31"/>
  <c r="K122" i="31"/>
  <c r="K121" i="31"/>
  <c r="K120" i="31"/>
  <c r="N119" i="31"/>
  <c r="M119" i="31"/>
  <c r="P119" i="31" s="1"/>
  <c r="K119" i="31"/>
  <c r="N118" i="31"/>
  <c r="M118" i="31"/>
  <c r="K118" i="31"/>
  <c r="K117" i="31"/>
  <c r="K116" i="31"/>
  <c r="K115" i="31"/>
  <c r="N114" i="31"/>
  <c r="M114" i="31"/>
  <c r="K114" i="31"/>
  <c r="K113" i="31"/>
  <c r="K112" i="31"/>
  <c r="K111" i="31"/>
  <c r="K110" i="31"/>
  <c r="N109" i="31"/>
  <c r="M109" i="31"/>
  <c r="K109" i="31"/>
  <c r="K108" i="31"/>
  <c r="K107" i="31"/>
  <c r="K106" i="31"/>
  <c r="K105" i="31"/>
  <c r="N104" i="31"/>
  <c r="M104" i="31"/>
  <c r="P104" i="31" s="1"/>
  <c r="K104" i="31"/>
  <c r="K103" i="31"/>
  <c r="N102" i="31"/>
  <c r="M102" i="31"/>
  <c r="K102" i="31"/>
  <c r="K101" i="31"/>
  <c r="K100" i="31"/>
  <c r="K99" i="31"/>
  <c r="N98" i="31"/>
  <c r="M98" i="31"/>
  <c r="K98" i="31"/>
  <c r="N97" i="31"/>
  <c r="M97" i="31"/>
  <c r="K97" i="31"/>
  <c r="L96" i="31"/>
  <c r="L95" i="31" s="1"/>
  <c r="J96" i="31"/>
  <c r="J95" i="31" s="1"/>
  <c r="K94" i="31"/>
  <c r="K93" i="31"/>
  <c r="K92" i="31"/>
  <c r="K91" i="31"/>
  <c r="K90" i="31"/>
  <c r="O89" i="31"/>
  <c r="M89" i="31"/>
  <c r="M83" i="31" s="1"/>
  <c r="M82" i="31" s="1"/>
  <c r="K89" i="31"/>
  <c r="K88" i="31"/>
  <c r="K87" i="31"/>
  <c r="K86" i="31"/>
  <c r="K85" i="31"/>
  <c r="K84" i="31"/>
  <c r="P83" i="31"/>
  <c r="P82" i="31" s="1"/>
  <c r="N83" i="31"/>
  <c r="N82" i="31" s="1"/>
  <c r="L83" i="31"/>
  <c r="L82" i="31" s="1"/>
  <c r="J83" i="31"/>
  <c r="J82" i="31" s="1"/>
  <c r="K81" i="31"/>
  <c r="N79" i="31"/>
  <c r="M79" i="31"/>
  <c r="K79" i="31"/>
  <c r="N78" i="31"/>
  <c r="K78" i="31"/>
  <c r="K77" i="31"/>
  <c r="K76" i="31"/>
  <c r="O75" i="31"/>
  <c r="K75" i="31"/>
  <c r="M74" i="31"/>
  <c r="K74" i="31"/>
  <c r="K73" i="31"/>
  <c r="O72" i="31"/>
  <c r="N72" i="31" s="1"/>
  <c r="K72" i="31"/>
  <c r="P68" i="31"/>
  <c r="P58" i="31" s="1"/>
  <c r="P57" i="31" s="1"/>
  <c r="M68" i="31"/>
  <c r="K68" i="31"/>
  <c r="K67" i="31"/>
  <c r="K66" i="31"/>
  <c r="M65" i="31"/>
  <c r="K65" i="31"/>
  <c r="K64" i="31"/>
  <c r="K63" i="31"/>
  <c r="K62" i="31"/>
  <c r="M61" i="31"/>
  <c r="K61" i="31"/>
  <c r="O60" i="31"/>
  <c r="M60" i="31"/>
  <c r="K60" i="31"/>
  <c r="M59" i="31"/>
  <c r="K59" i="31"/>
  <c r="L58" i="31"/>
  <c r="L57" i="31" s="1"/>
  <c r="J58" i="31"/>
  <c r="J57" i="31" s="1"/>
  <c r="O54" i="31"/>
  <c r="K54" i="31"/>
  <c r="M53" i="31"/>
  <c r="K53" i="31"/>
  <c r="K52" i="31"/>
  <c r="O51" i="31"/>
  <c r="K51" i="31"/>
  <c r="K50" i="31"/>
  <c r="S50" i="31" s="1"/>
  <c r="K49" i="31"/>
  <c r="K48" i="31"/>
  <c r="K47" i="31"/>
  <c r="K46" i="31"/>
  <c r="M45" i="31"/>
  <c r="K45" i="31"/>
  <c r="M44" i="31"/>
  <c r="K44" i="31"/>
  <c r="M43" i="31"/>
  <c r="K43" i="31"/>
  <c r="M42" i="31"/>
  <c r="K42" i="31"/>
  <c r="S42" i="31" s="1"/>
  <c r="M41" i="31"/>
  <c r="K41" i="31"/>
  <c r="P40" i="31"/>
  <c r="P39" i="31" s="1"/>
  <c r="N40" i="31"/>
  <c r="N39" i="31" s="1"/>
  <c r="L40" i="31"/>
  <c r="L39" i="31" s="1"/>
  <c r="J40" i="31"/>
  <c r="J39" i="31" s="1"/>
  <c r="K38" i="31"/>
  <c r="K37" i="31"/>
  <c r="K36" i="31"/>
  <c r="K35" i="31"/>
  <c r="S35" i="31" s="1"/>
  <c r="K34" i="31"/>
  <c r="S34" i="31" s="1"/>
  <c r="K33" i="31"/>
  <c r="S33" i="31" s="1"/>
  <c r="K32" i="31"/>
  <c r="S32" i="31" s="1"/>
  <c r="K31" i="31"/>
  <c r="S31" i="31" s="1"/>
  <c r="K30" i="31"/>
  <c r="S30" i="31" s="1"/>
  <c r="K29" i="31"/>
  <c r="U29" i="31" s="1"/>
  <c r="K28" i="31"/>
  <c r="S28" i="31" s="1"/>
  <c r="K27" i="31"/>
  <c r="S27" i="31" s="1"/>
  <c r="U27" i="31" s="1"/>
  <c r="K26" i="31"/>
  <c r="K25" i="31"/>
  <c r="S25" i="31" s="1"/>
  <c r="K24" i="31"/>
  <c r="K23" i="31"/>
  <c r="K22" i="31"/>
  <c r="S22" i="31" s="1"/>
  <c r="K21" i="31"/>
  <c r="K20" i="31"/>
  <c r="K19" i="31"/>
  <c r="S19" i="31" s="1"/>
  <c r="K18" i="31"/>
  <c r="K17" i="31"/>
  <c r="K16" i="31"/>
  <c r="K15" i="31"/>
  <c r="S15" i="31" s="1"/>
  <c r="K14" i="31"/>
  <c r="S14" i="31" s="1"/>
  <c r="K13" i="31"/>
  <c r="S13" i="31" s="1"/>
  <c r="K12" i="31"/>
  <c r="S12" i="31" s="1"/>
  <c r="P11" i="31"/>
  <c r="P10" i="31" s="1"/>
  <c r="N11" i="31"/>
  <c r="N10" i="31" s="1"/>
  <c r="M11" i="31"/>
  <c r="M10" i="31" s="1"/>
  <c r="L11" i="31"/>
  <c r="L10" i="31" s="1"/>
  <c r="J11" i="31"/>
  <c r="J10" i="31" s="1"/>
  <c r="O298" i="30"/>
  <c r="N298" i="30"/>
  <c r="M298" i="30"/>
  <c r="L298" i="30"/>
  <c r="K298" i="30"/>
  <c r="J298" i="30"/>
  <c r="O297" i="30"/>
  <c r="N297" i="30"/>
  <c r="M297" i="30"/>
  <c r="L297" i="30"/>
  <c r="K297" i="30"/>
  <c r="J297" i="30"/>
  <c r="P296" i="30"/>
  <c r="K296" i="30"/>
  <c r="P295" i="30"/>
  <c r="K295" i="30"/>
  <c r="P294" i="30"/>
  <c r="K294" i="30"/>
  <c r="P293" i="30"/>
  <c r="K293" i="30"/>
  <c r="P292" i="30"/>
  <c r="P291" i="30"/>
  <c r="P290" i="30"/>
  <c r="K290" i="30"/>
  <c r="P289" i="30"/>
  <c r="P288" i="30"/>
  <c r="Q287" i="30"/>
  <c r="K287" i="30"/>
  <c r="K286" i="30"/>
  <c r="Q285" i="30"/>
  <c r="K285" i="30"/>
  <c r="Q284" i="30"/>
  <c r="K284" i="30"/>
  <c r="Q283" i="30"/>
  <c r="P283" i="30"/>
  <c r="K283" i="30"/>
  <c r="Q282" i="30"/>
  <c r="P282" i="30"/>
  <c r="K282" i="30"/>
  <c r="Q281" i="30"/>
  <c r="P281" i="30"/>
  <c r="Q280" i="30"/>
  <c r="P280" i="30"/>
  <c r="K280" i="30"/>
  <c r="Q279" i="30"/>
  <c r="Q276" i="30" s="1"/>
  <c r="P279" i="30"/>
  <c r="K279" i="30"/>
  <c r="P278" i="30"/>
  <c r="K278" i="30"/>
  <c r="Q277" i="30"/>
  <c r="P277" i="30"/>
  <c r="P276" i="30" s="1"/>
  <c r="K277" i="30"/>
  <c r="K276" i="30" s="1"/>
  <c r="O276" i="30"/>
  <c r="N276" i="30"/>
  <c r="M276" i="30"/>
  <c r="L276" i="30"/>
  <c r="L268" i="30" s="1"/>
  <c r="J276" i="30"/>
  <c r="P275" i="30"/>
  <c r="K275" i="30"/>
  <c r="Q274" i="30"/>
  <c r="K274" i="30"/>
  <c r="P273" i="30"/>
  <c r="P269" i="30" s="1"/>
  <c r="K273" i="30"/>
  <c r="Q272" i="30"/>
  <c r="K272" i="30"/>
  <c r="Q271" i="30"/>
  <c r="K271" i="30"/>
  <c r="K269" i="30" s="1"/>
  <c r="Q270" i="30"/>
  <c r="Q269" i="30" s="1"/>
  <c r="K270" i="30"/>
  <c r="O269" i="30"/>
  <c r="O268" i="30" s="1"/>
  <c r="N269" i="30"/>
  <c r="N268" i="30" s="1"/>
  <c r="M269" i="30"/>
  <c r="M268" i="30" s="1"/>
  <c r="L269" i="30"/>
  <c r="J269" i="30"/>
  <c r="J268" i="30"/>
  <c r="P267" i="30"/>
  <c r="P266" i="30"/>
  <c r="P265" i="30"/>
  <c r="P264" i="30"/>
  <c r="Q263" i="30"/>
  <c r="P263" i="30"/>
  <c r="N263" i="30"/>
  <c r="P262" i="30"/>
  <c r="N262" i="30"/>
  <c r="P261" i="30"/>
  <c r="N261" i="30"/>
  <c r="Q261" i="30" s="1"/>
  <c r="Q253" i="30" s="1"/>
  <c r="Q260" i="30"/>
  <c r="P260" i="30"/>
  <c r="N260" i="30"/>
  <c r="K260" i="30"/>
  <c r="Q259" i="30"/>
  <c r="P259" i="30"/>
  <c r="K259" i="30"/>
  <c r="Q258" i="30"/>
  <c r="P258" i="30"/>
  <c r="K258" i="30"/>
  <c r="Q257" i="30"/>
  <c r="P257" i="30"/>
  <c r="K257" i="30"/>
  <c r="Q256" i="30"/>
  <c r="P256" i="30"/>
  <c r="K256" i="30"/>
  <c r="Q255" i="30"/>
  <c r="P255" i="30"/>
  <c r="K255" i="30"/>
  <c r="Q254" i="30"/>
  <c r="P254" i="30"/>
  <c r="K254" i="30"/>
  <c r="P253" i="30"/>
  <c r="O253" i="30"/>
  <c r="M253" i="30"/>
  <c r="L253" i="30"/>
  <c r="K253" i="30"/>
  <c r="J253" i="30"/>
  <c r="J238" i="30" s="1"/>
  <c r="P252" i="30"/>
  <c r="K252" i="30"/>
  <c r="Q251" i="30"/>
  <c r="P251" i="30"/>
  <c r="K251" i="30"/>
  <c r="Q250" i="30"/>
  <c r="P250" i="30"/>
  <c r="K250" i="30"/>
  <c r="Q249" i="30"/>
  <c r="P249" i="30"/>
  <c r="K249" i="30"/>
  <c r="Q248" i="30"/>
  <c r="P248" i="30"/>
  <c r="K248" i="30"/>
  <c r="Q247" i="30"/>
  <c r="P247" i="30"/>
  <c r="K247" i="30"/>
  <c r="Q246" i="30"/>
  <c r="P246" i="30"/>
  <c r="K246" i="30"/>
  <c r="Q245" i="30"/>
  <c r="P245" i="30"/>
  <c r="K245" i="30"/>
  <c r="Q244" i="30"/>
  <c r="P244" i="30"/>
  <c r="K244" i="30"/>
  <c r="Q243" i="30"/>
  <c r="P243" i="30"/>
  <c r="K243" i="30"/>
  <c r="Q242" i="30"/>
  <c r="P242" i="30"/>
  <c r="K242" i="30"/>
  <c r="Q241" i="30"/>
  <c r="P241" i="30"/>
  <c r="K241" i="30"/>
  <c r="K239" i="30" s="1"/>
  <c r="K238" i="30" s="1"/>
  <c r="Q240" i="30"/>
  <c r="Q239" i="30" s="1"/>
  <c r="P240" i="30"/>
  <c r="P239" i="30" s="1"/>
  <c r="P238" i="30" s="1"/>
  <c r="K240" i="30"/>
  <c r="O239" i="30"/>
  <c r="O238" i="30" s="1"/>
  <c r="N239" i="30"/>
  <c r="M239" i="30"/>
  <c r="M238" i="30" s="1"/>
  <c r="L239" i="30"/>
  <c r="J239" i="30"/>
  <c r="R238" i="30"/>
  <c r="L238" i="30"/>
  <c r="O237" i="30"/>
  <c r="P237" i="30" s="1"/>
  <c r="K235" i="30"/>
  <c r="K234" i="30"/>
  <c r="P233" i="30"/>
  <c r="K233" i="30"/>
  <c r="P232" i="30"/>
  <c r="K232" i="30"/>
  <c r="K231" i="30"/>
  <c r="Q230" i="30"/>
  <c r="P230" i="30"/>
  <c r="K230" i="30"/>
  <c r="P229" i="30"/>
  <c r="K229" i="30"/>
  <c r="P228" i="30"/>
  <c r="K228" i="30"/>
  <c r="P227" i="30"/>
  <c r="N227" i="30"/>
  <c r="P226" i="30"/>
  <c r="N226" i="30"/>
  <c r="Q225" i="30"/>
  <c r="K225" i="30"/>
  <c r="P224" i="30"/>
  <c r="K224" i="30"/>
  <c r="Q223" i="30"/>
  <c r="K223" i="30"/>
  <c r="Q222" i="30"/>
  <c r="K222" i="30"/>
  <c r="Q221" i="30"/>
  <c r="Q220" i="30" s="1"/>
  <c r="K221" i="30"/>
  <c r="K220" i="30" s="1"/>
  <c r="O220" i="30"/>
  <c r="N220" i="30"/>
  <c r="M220" i="30"/>
  <c r="L220" i="30"/>
  <c r="L205" i="30" s="1"/>
  <c r="J220" i="30"/>
  <c r="Q219" i="30"/>
  <c r="P219" i="30"/>
  <c r="K219" i="30"/>
  <c r="Q218" i="30"/>
  <c r="P218" i="30"/>
  <c r="K218" i="30"/>
  <c r="Q217" i="30"/>
  <c r="P217" i="30"/>
  <c r="K217" i="30"/>
  <c r="Q216" i="30"/>
  <c r="P216" i="30"/>
  <c r="K216" i="30"/>
  <c r="P215" i="30"/>
  <c r="K215" i="30"/>
  <c r="P214" i="30"/>
  <c r="K214" i="30"/>
  <c r="P213" i="30"/>
  <c r="K213" i="30"/>
  <c r="Q212" i="30"/>
  <c r="P212" i="30"/>
  <c r="K212" i="30"/>
  <c r="Q211" i="30"/>
  <c r="P211" i="30"/>
  <c r="K211" i="30"/>
  <c r="Q210" i="30"/>
  <c r="P210" i="30"/>
  <c r="K210" i="30"/>
  <c r="Q209" i="30"/>
  <c r="P209" i="30"/>
  <c r="K209" i="30"/>
  <c r="P208" i="30"/>
  <c r="K208" i="30"/>
  <c r="K206" i="30" s="1"/>
  <c r="K205" i="30" s="1"/>
  <c r="Q207" i="30"/>
  <c r="Q206" i="30" s="1"/>
  <c r="Q205" i="30" s="1"/>
  <c r="P207" i="30"/>
  <c r="P206" i="30" s="1"/>
  <c r="K207" i="30"/>
  <c r="O206" i="30"/>
  <c r="O205" i="30" s="1"/>
  <c r="N206" i="30"/>
  <c r="N205" i="30" s="1"/>
  <c r="M206" i="30"/>
  <c r="M205" i="30" s="1"/>
  <c r="L206" i="30"/>
  <c r="J206" i="30"/>
  <c r="J205" i="30"/>
  <c r="K204" i="30"/>
  <c r="K203" i="30"/>
  <c r="K202" i="30"/>
  <c r="K201" i="30"/>
  <c r="O200" i="30"/>
  <c r="O199" i="30"/>
  <c r="O187" i="30" s="1"/>
  <c r="K198" i="30"/>
  <c r="K197" i="30"/>
  <c r="K196" i="30"/>
  <c r="K195" i="30"/>
  <c r="K194" i="30"/>
  <c r="K193" i="30"/>
  <c r="K192" i="30"/>
  <c r="K191" i="30"/>
  <c r="K190" i="30"/>
  <c r="K189" i="30"/>
  <c r="K188" i="30"/>
  <c r="Q187" i="30"/>
  <c r="P187" i="30"/>
  <c r="N187" i="30"/>
  <c r="M187" i="30"/>
  <c r="L187" i="30"/>
  <c r="K187" i="30"/>
  <c r="J187" i="30"/>
  <c r="P186" i="30"/>
  <c r="N186" i="30"/>
  <c r="P185" i="30"/>
  <c r="N185" i="30"/>
  <c r="P184" i="30"/>
  <c r="N184" i="30"/>
  <c r="P183" i="30"/>
  <c r="N183" i="30"/>
  <c r="N182" i="30"/>
  <c r="O182" i="30" s="1"/>
  <c r="N181" i="30"/>
  <c r="P180" i="30"/>
  <c r="N180" i="30"/>
  <c r="P179" i="30"/>
  <c r="N179" i="30"/>
  <c r="P178" i="30"/>
  <c r="N178" i="30"/>
  <c r="P177" i="30"/>
  <c r="N177" i="30"/>
  <c r="Q177" i="30" s="1"/>
  <c r="Q161" i="30" s="1"/>
  <c r="K177" i="30"/>
  <c r="P176" i="30"/>
  <c r="N176" i="30"/>
  <c r="K176" i="30"/>
  <c r="P175" i="30"/>
  <c r="K175" i="30"/>
  <c r="P174" i="30"/>
  <c r="N174" i="30"/>
  <c r="N161" i="30" s="1"/>
  <c r="K174" i="30"/>
  <c r="P173" i="30"/>
  <c r="K173" i="30"/>
  <c r="P172" i="30"/>
  <c r="K172" i="30"/>
  <c r="P171" i="30"/>
  <c r="K171" i="30"/>
  <c r="P170" i="30"/>
  <c r="K170" i="30"/>
  <c r="P169" i="30"/>
  <c r="K169" i="30"/>
  <c r="P168" i="30"/>
  <c r="K168" i="30"/>
  <c r="P167" i="30"/>
  <c r="K167" i="30"/>
  <c r="P166" i="30"/>
  <c r="K166" i="30"/>
  <c r="P165" i="30"/>
  <c r="K165" i="30"/>
  <c r="P164" i="30"/>
  <c r="K164" i="30"/>
  <c r="P163" i="30"/>
  <c r="K163" i="30"/>
  <c r="P162" i="30"/>
  <c r="K162" i="30"/>
  <c r="K161" i="30" s="1"/>
  <c r="M161" i="30"/>
  <c r="L161" i="30"/>
  <c r="J161" i="30"/>
  <c r="O160" i="30"/>
  <c r="P160" i="30" s="1"/>
  <c r="K160" i="30"/>
  <c r="P159" i="30"/>
  <c r="O159" i="30"/>
  <c r="K159" i="30"/>
  <c r="P158" i="30"/>
  <c r="K158" i="30"/>
  <c r="P157" i="30"/>
  <c r="O157" i="30"/>
  <c r="P156" i="30"/>
  <c r="O156" i="30"/>
  <c r="K156" i="30"/>
  <c r="O155" i="30"/>
  <c r="P155" i="30" s="1"/>
  <c r="K155" i="30"/>
  <c r="P154" i="30"/>
  <c r="K154" i="30"/>
  <c r="O153" i="30"/>
  <c r="P153" i="30" s="1"/>
  <c r="K153" i="30"/>
  <c r="P152" i="30"/>
  <c r="K152" i="30"/>
  <c r="O151" i="30"/>
  <c r="P151" i="30" s="1"/>
  <c r="K151" i="30"/>
  <c r="P150" i="30"/>
  <c r="O150" i="30"/>
  <c r="O145" i="30" s="1"/>
  <c r="K150" i="30"/>
  <c r="O149" i="30"/>
  <c r="P149" i="30" s="1"/>
  <c r="K149" i="30"/>
  <c r="P148" i="30"/>
  <c r="K148" i="30"/>
  <c r="P147" i="30"/>
  <c r="K147" i="30"/>
  <c r="P146" i="30"/>
  <c r="N146" i="30"/>
  <c r="N145" i="30" s="1"/>
  <c r="N144" i="30" s="1"/>
  <c r="K146" i="30"/>
  <c r="K145" i="30" s="1"/>
  <c r="K144" i="30" s="1"/>
  <c r="Q145" i="30"/>
  <c r="Q144" i="30" s="1"/>
  <c r="M145" i="30"/>
  <c r="M144" i="30" s="1"/>
  <c r="L145" i="30"/>
  <c r="L144" i="30" s="1"/>
  <c r="J145" i="30"/>
  <c r="J144" i="30" s="1"/>
  <c r="O143" i="30"/>
  <c r="P143" i="30" s="1"/>
  <c r="K143" i="30"/>
  <c r="P142" i="30"/>
  <c r="O142" i="30"/>
  <c r="K142" i="30"/>
  <c r="O141" i="30"/>
  <c r="P141" i="30" s="1"/>
  <c r="P140" i="30"/>
  <c r="O140" i="30"/>
  <c r="P139" i="30"/>
  <c r="K139" i="30"/>
  <c r="O138" i="30"/>
  <c r="P138" i="30" s="1"/>
  <c r="K138" i="30"/>
  <c r="P137" i="30"/>
  <c r="P136" i="30"/>
  <c r="P135" i="30"/>
  <c r="K135" i="30"/>
  <c r="P134" i="30"/>
  <c r="N134" i="30"/>
  <c r="K134" i="30"/>
  <c r="P133" i="30"/>
  <c r="N133" i="30"/>
  <c r="P132" i="30"/>
  <c r="K132" i="30"/>
  <c r="K131" i="30"/>
  <c r="P130" i="30"/>
  <c r="K130" i="30"/>
  <c r="P129" i="30"/>
  <c r="N129" i="30"/>
  <c r="K129" i="30"/>
  <c r="P128" i="30"/>
  <c r="K128" i="30"/>
  <c r="P127" i="30"/>
  <c r="K127" i="30"/>
  <c r="P126" i="30"/>
  <c r="K126" i="30"/>
  <c r="N125" i="30"/>
  <c r="K125" i="30"/>
  <c r="N124" i="30"/>
  <c r="K124" i="30"/>
  <c r="P123" i="30"/>
  <c r="K123" i="30"/>
  <c r="N122" i="30"/>
  <c r="K122" i="30"/>
  <c r="N121" i="30"/>
  <c r="K121" i="30"/>
  <c r="N120" i="30"/>
  <c r="N118" i="30" s="1"/>
  <c r="K120" i="30"/>
  <c r="K118" i="30" s="1"/>
  <c r="P119" i="30"/>
  <c r="N119" i="30"/>
  <c r="K119" i="30"/>
  <c r="Q118" i="30"/>
  <c r="O118" i="30"/>
  <c r="M118" i="30"/>
  <c r="L118" i="30"/>
  <c r="J118" i="30"/>
  <c r="O117" i="30"/>
  <c r="K117" i="30"/>
  <c r="O116" i="30"/>
  <c r="K116" i="30"/>
  <c r="O115" i="30"/>
  <c r="K115" i="30"/>
  <c r="O114" i="30"/>
  <c r="K114" i="30"/>
  <c r="O113" i="30"/>
  <c r="K113" i="30"/>
  <c r="P112" i="30"/>
  <c r="O112" i="30"/>
  <c r="K112" i="30"/>
  <c r="O111" i="30"/>
  <c r="K111" i="30"/>
  <c r="O110" i="30"/>
  <c r="K110" i="30"/>
  <c r="N109" i="30"/>
  <c r="O109" i="30" s="1"/>
  <c r="O108" i="30" s="1"/>
  <c r="O107" i="30" s="1"/>
  <c r="K109" i="30"/>
  <c r="K108" i="30" s="1"/>
  <c r="K107" i="30" s="1"/>
  <c r="Q108" i="30"/>
  <c r="P108" i="30"/>
  <c r="M108" i="30"/>
  <c r="M107" i="30" s="1"/>
  <c r="L108" i="30"/>
  <c r="L107" i="30" s="1"/>
  <c r="J108" i="30"/>
  <c r="Q107" i="30"/>
  <c r="J107" i="30"/>
  <c r="K102" i="30"/>
  <c r="K101" i="30" s="1"/>
  <c r="J102" i="30"/>
  <c r="J101" i="30" s="1"/>
  <c r="J59" i="30" s="1"/>
  <c r="Q101" i="30"/>
  <c r="P101" i="30"/>
  <c r="O101" i="30"/>
  <c r="N101" i="30"/>
  <c r="M101" i="30"/>
  <c r="L101" i="30"/>
  <c r="K100" i="30"/>
  <c r="K99" i="30"/>
  <c r="K98" i="30"/>
  <c r="P97" i="30"/>
  <c r="K97" i="30"/>
  <c r="O96" i="30"/>
  <c r="N96" i="30"/>
  <c r="K96" i="30"/>
  <c r="P95" i="30"/>
  <c r="O95" i="30"/>
  <c r="N95" i="30"/>
  <c r="K95" i="30"/>
  <c r="N94" i="30"/>
  <c r="O94" i="30" s="1"/>
  <c r="P94" i="30" s="1"/>
  <c r="K94" i="30"/>
  <c r="P93" i="30"/>
  <c r="N93" i="30"/>
  <c r="S93" i="30" s="1"/>
  <c r="K93" i="30"/>
  <c r="S92" i="30"/>
  <c r="P92" i="30"/>
  <c r="N92" i="30"/>
  <c r="K92" i="30"/>
  <c r="O91" i="30"/>
  <c r="N91" i="30"/>
  <c r="K91" i="30"/>
  <c r="O90" i="30"/>
  <c r="K90" i="30"/>
  <c r="N89" i="30"/>
  <c r="K89" i="30"/>
  <c r="P88" i="30"/>
  <c r="N88" i="30"/>
  <c r="K88" i="30"/>
  <c r="P87" i="30"/>
  <c r="N87" i="30"/>
  <c r="K87" i="30"/>
  <c r="P86" i="30"/>
  <c r="N86" i="30"/>
  <c r="K86" i="30"/>
  <c r="P85" i="30"/>
  <c r="N85" i="30"/>
  <c r="K85" i="30"/>
  <c r="O84" i="30"/>
  <c r="P84" i="30" s="1"/>
  <c r="N84" i="30"/>
  <c r="K84" i="30"/>
  <c r="N83" i="30"/>
  <c r="O83" i="30" s="1"/>
  <c r="P83" i="30" s="1"/>
  <c r="K83" i="30"/>
  <c r="K80" i="30" s="1"/>
  <c r="N82" i="30"/>
  <c r="O82" i="30" s="1"/>
  <c r="P82" i="30" s="1"/>
  <c r="K82" i="30"/>
  <c r="O81" i="30"/>
  <c r="N81" i="30"/>
  <c r="K81" i="30"/>
  <c r="Q80" i="30"/>
  <c r="N80" i="30"/>
  <c r="M80" i="30"/>
  <c r="L80" i="30"/>
  <c r="J80" i="30"/>
  <c r="O79" i="30"/>
  <c r="P79" i="30" s="1"/>
  <c r="K79" i="30"/>
  <c r="O78" i="30"/>
  <c r="P78" i="30" s="1"/>
  <c r="K78" i="30"/>
  <c r="P77" i="30"/>
  <c r="N77" i="30"/>
  <c r="K77" i="30"/>
  <c r="P76" i="30"/>
  <c r="K76" i="30"/>
  <c r="N75" i="30"/>
  <c r="O75" i="30" s="1"/>
  <c r="P75" i="30" s="1"/>
  <c r="K75" i="30"/>
  <c r="O74" i="30"/>
  <c r="P74" i="30" s="1"/>
  <c r="K74" i="30"/>
  <c r="P73" i="30"/>
  <c r="N73" i="30"/>
  <c r="K73" i="30"/>
  <c r="O72" i="30"/>
  <c r="P72" i="30" s="1"/>
  <c r="K72" i="30"/>
  <c r="P71" i="30"/>
  <c r="N71" i="30"/>
  <c r="K71" i="30"/>
  <c r="O70" i="30"/>
  <c r="P70" i="30" s="1"/>
  <c r="K70" i="30"/>
  <c r="O69" i="30"/>
  <c r="P69" i="30" s="1"/>
  <c r="K69" i="30"/>
  <c r="O68" i="30"/>
  <c r="P68" i="30" s="1"/>
  <c r="N68" i="30"/>
  <c r="K68" i="30"/>
  <c r="P67" i="30"/>
  <c r="O67" i="30"/>
  <c r="N67" i="30"/>
  <c r="K67" i="30"/>
  <c r="N66" i="30"/>
  <c r="O66" i="30" s="1"/>
  <c r="P66" i="30" s="1"/>
  <c r="K66" i="30"/>
  <c r="O65" i="30"/>
  <c r="P65" i="30" s="1"/>
  <c r="N65" i="30"/>
  <c r="K65" i="30"/>
  <c r="P64" i="30"/>
  <c r="O64" i="30"/>
  <c r="N64" i="30"/>
  <c r="K64" i="30"/>
  <c r="O63" i="30"/>
  <c r="N63" i="30"/>
  <c r="N60" i="30" s="1"/>
  <c r="N59" i="30" s="1"/>
  <c r="K63" i="30"/>
  <c r="P62" i="30"/>
  <c r="O62" i="30"/>
  <c r="K62" i="30"/>
  <c r="O61" i="30"/>
  <c r="K61" i="30"/>
  <c r="K60" i="30" s="1"/>
  <c r="Q60" i="30"/>
  <c r="Q59" i="30" s="1"/>
  <c r="M60" i="30"/>
  <c r="M59" i="30" s="1"/>
  <c r="L60" i="30"/>
  <c r="L59" i="30" s="1"/>
  <c r="J60" i="30"/>
  <c r="P58" i="30"/>
  <c r="K58" i="30"/>
  <c r="P57" i="30"/>
  <c r="K57" i="30"/>
  <c r="P56" i="30"/>
  <c r="K56" i="30"/>
  <c r="P55" i="30"/>
  <c r="K55" i="30"/>
  <c r="P54" i="30"/>
  <c r="O54" i="30"/>
  <c r="K54" i="30"/>
  <c r="P53" i="30"/>
  <c r="P52" i="30"/>
  <c r="P49" i="30"/>
  <c r="K49" i="30"/>
  <c r="K48" i="30"/>
  <c r="K47" i="30"/>
  <c r="K46" i="30"/>
  <c r="P45" i="30"/>
  <c r="N45" i="30"/>
  <c r="K45" i="30"/>
  <c r="P44" i="30"/>
  <c r="N44" i="30"/>
  <c r="K44" i="30"/>
  <c r="P43" i="30"/>
  <c r="N43" i="30"/>
  <c r="K43" i="30"/>
  <c r="P42" i="30"/>
  <c r="N42" i="30"/>
  <c r="K42" i="30"/>
  <c r="P41" i="30"/>
  <c r="K41" i="30"/>
  <c r="P40" i="30"/>
  <c r="N40" i="30"/>
  <c r="K40" i="30"/>
  <c r="P39" i="30"/>
  <c r="K39" i="30"/>
  <c r="P38" i="30"/>
  <c r="P35" i="30" s="1"/>
  <c r="K38" i="30"/>
  <c r="P37" i="30"/>
  <c r="K37" i="30"/>
  <c r="P36" i="30"/>
  <c r="N36" i="30"/>
  <c r="N35" i="30" s="1"/>
  <c r="K36" i="30"/>
  <c r="K35" i="30" s="1"/>
  <c r="Q35" i="30"/>
  <c r="O35" i="30"/>
  <c r="M35" i="30"/>
  <c r="M21" i="30" s="1"/>
  <c r="L35" i="30"/>
  <c r="L21" i="30" s="1"/>
  <c r="J35" i="30"/>
  <c r="P34" i="30"/>
  <c r="K34" i="30"/>
  <c r="P33" i="30"/>
  <c r="K33" i="30"/>
  <c r="P32" i="30"/>
  <c r="K32" i="30"/>
  <c r="P31" i="30"/>
  <c r="K31" i="30"/>
  <c r="P30" i="30"/>
  <c r="K30" i="30"/>
  <c r="P29" i="30"/>
  <c r="K29" i="30"/>
  <c r="P28" i="30"/>
  <c r="N28" i="30"/>
  <c r="K28" i="30"/>
  <c r="P27" i="30"/>
  <c r="K27" i="30"/>
  <c r="P26" i="30"/>
  <c r="K26" i="30"/>
  <c r="P25" i="30"/>
  <c r="K25" i="30"/>
  <c r="P24" i="30"/>
  <c r="P22" i="30" s="1"/>
  <c r="K24" i="30"/>
  <c r="P23" i="30"/>
  <c r="K23" i="30"/>
  <c r="K22" i="30" s="1"/>
  <c r="K21" i="30" s="1"/>
  <c r="Q22" i="30"/>
  <c r="O22" i="30"/>
  <c r="O21" i="30" s="1"/>
  <c r="N22" i="30"/>
  <c r="M22" i="30"/>
  <c r="L22" i="30"/>
  <c r="J22" i="30"/>
  <c r="J21" i="30" s="1"/>
  <c r="Q21" i="30"/>
  <c r="K20" i="30"/>
  <c r="P19" i="30"/>
  <c r="P12" i="30" s="1"/>
  <c r="P11" i="30" s="1"/>
  <c r="Q18" i="30"/>
  <c r="K18" i="30"/>
  <c r="Q17" i="30"/>
  <c r="Q12" i="30" s="1"/>
  <c r="Q11" i="30" s="1"/>
  <c r="K17" i="30"/>
  <c r="Q16" i="30"/>
  <c r="K16" i="30"/>
  <c r="K15" i="30"/>
  <c r="K14" i="30"/>
  <c r="K13" i="30"/>
  <c r="K12" i="30" s="1"/>
  <c r="K11" i="30" s="1"/>
  <c r="O12" i="30"/>
  <c r="N12" i="30"/>
  <c r="M12" i="30"/>
  <c r="M11" i="30" s="1"/>
  <c r="L12" i="30"/>
  <c r="L11" i="30" s="1"/>
  <c r="J12" i="30"/>
  <c r="O11" i="30"/>
  <c r="N11" i="30"/>
  <c r="J11" i="30"/>
  <c r="J10" i="30" s="1"/>
  <c r="F10" i="33" l="1"/>
  <c r="F17" i="33"/>
  <c r="O73" i="32"/>
  <c r="O72" i="32" s="1"/>
  <c r="K44" i="32"/>
  <c r="P52" i="32"/>
  <c r="K61" i="32"/>
  <c r="J72" i="32"/>
  <c r="L120" i="32"/>
  <c r="P120" i="32"/>
  <c r="P98" i="32" s="1"/>
  <c r="P163" i="32"/>
  <c r="M178" i="32"/>
  <c r="M177" i="32" s="1"/>
  <c r="L10" i="32"/>
  <c r="K37" i="32"/>
  <c r="K163" i="32"/>
  <c r="M73" i="32"/>
  <c r="O83" i="32"/>
  <c r="K109" i="32"/>
  <c r="O163" i="32"/>
  <c r="M10" i="32"/>
  <c r="N98" i="32"/>
  <c r="L99" i="32"/>
  <c r="L150" i="32"/>
  <c r="O131" i="32"/>
  <c r="J10" i="32"/>
  <c r="O103" i="32"/>
  <c r="O99" i="32" s="1"/>
  <c r="O113" i="32"/>
  <c r="L157" i="32"/>
  <c r="M92" i="32"/>
  <c r="M72" i="32" s="1"/>
  <c r="O152" i="32"/>
  <c r="K29" i="32"/>
  <c r="K73" i="32"/>
  <c r="P11" i="32"/>
  <c r="O29" i="32"/>
  <c r="O52" i="32"/>
  <c r="J98" i="32"/>
  <c r="O109" i="32"/>
  <c r="K120" i="32"/>
  <c r="O124" i="32"/>
  <c r="P157" i="32"/>
  <c r="K11" i="32"/>
  <c r="K52" i="32"/>
  <c r="P67" i="32"/>
  <c r="Q67" i="32"/>
  <c r="N72" i="32"/>
  <c r="P142" i="32"/>
  <c r="O150" i="32"/>
  <c r="K170" i="32"/>
  <c r="P170" i="32"/>
  <c r="O11" i="32"/>
  <c r="O10" i="32" s="1"/>
  <c r="L72" i="32"/>
  <c r="N10" i="32"/>
  <c r="N9" i="32" s="1"/>
  <c r="P20" i="32"/>
  <c r="P44" i="32"/>
  <c r="P61" i="32"/>
  <c r="K83" i="32"/>
  <c r="K131" i="32"/>
  <c r="M131" i="32"/>
  <c r="M98" i="32" s="1"/>
  <c r="K142" i="32"/>
  <c r="K98" i="32" s="1"/>
  <c r="K157" i="32"/>
  <c r="O170" i="32"/>
  <c r="K178" i="32"/>
  <c r="K177" i="32" s="1"/>
  <c r="K40" i="31"/>
  <c r="K39" i="31" s="1"/>
  <c r="K58" i="31"/>
  <c r="K57" i="31" s="1"/>
  <c r="O120" i="32"/>
  <c r="L142" i="32"/>
  <c r="R172" i="31"/>
  <c r="T42" i="31"/>
  <c r="T39" i="31" s="1"/>
  <c r="S39" i="31"/>
  <c r="R149" i="31"/>
  <c r="M40" i="31"/>
  <c r="M39" i="31" s="1"/>
  <c r="Q39" i="31" s="1"/>
  <c r="R173" i="31"/>
  <c r="S29" i="31"/>
  <c r="O184" i="31"/>
  <c r="R184" i="31" s="1"/>
  <c r="U15" i="31"/>
  <c r="O150" i="31"/>
  <c r="R150" i="31" s="1"/>
  <c r="U30" i="31"/>
  <c r="K96" i="31"/>
  <c r="K95" i="31" s="1"/>
  <c r="R183" i="31"/>
  <c r="U50" i="31"/>
  <c r="U34" i="31"/>
  <c r="P172" i="31"/>
  <c r="O96" i="31"/>
  <c r="O95" i="31" s="1"/>
  <c r="M173" i="31"/>
  <c r="M172" i="31" s="1"/>
  <c r="P96" i="31"/>
  <c r="P95" i="31" s="1"/>
  <c r="M58" i="31"/>
  <c r="M57" i="31" s="1"/>
  <c r="M150" i="31"/>
  <c r="M149" i="31" s="1"/>
  <c r="O11" i="31"/>
  <c r="O10" i="31" s="1"/>
  <c r="O58" i="31"/>
  <c r="O57" i="31" s="1"/>
  <c r="Q57" i="31" s="1"/>
  <c r="K83" i="31"/>
  <c r="K82" i="31" s="1"/>
  <c r="M96" i="31"/>
  <c r="M95" i="31" s="1"/>
  <c r="K184" i="31"/>
  <c r="K183" i="31" s="1"/>
  <c r="K11" i="31"/>
  <c r="K10" i="31" s="1"/>
  <c r="N96" i="31"/>
  <c r="N95" i="31" s="1"/>
  <c r="O40" i="31"/>
  <c r="O39" i="31" s="1"/>
  <c r="N58" i="31"/>
  <c r="N57" i="31" s="1"/>
  <c r="M184" i="31"/>
  <c r="M183" i="31" s="1"/>
  <c r="L9" i="31"/>
  <c r="O83" i="31"/>
  <c r="O82" i="31" s="1"/>
  <c r="K150" i="31"/>
  <c r="K149" i="31" s="1"/>
  <c r="K173" i="31"/>
  <c r="K172" i="31" s="1"/>
  <c r="K233" i="31"/>
  <c r="K232" i="31" s="1"/>
  <c r="J9" i="31"/>
  <c r="P182" i="30"/>
  <c r="O161" i="30"/>
  <c r="O144" i="30" s="1"/>
  <c r="O60" i="30"/>
  <c r="O59" i="30" s="1"/>
  <c r="O10" i="30" s="1"/>
  <c r="L10" i="30"/>
  <c r="O80" i="30"/>
  <c r="P220" i="30"/>
  <c r="K268" i="30"/>
  <c r="M10" i="30"/>
  <c r="N21" i="30"/>
  <c r="P21" i="30"/>
  <c r="P118" i="30"/>
  <c r="P107" i="30" s="1"/>
  <c r="Q238" i="30"/>
  <c r="Q10" i="30" s="1"/>
  <c r="P205" i="30"/>
  <c r="P145" i="30"/>
  <c r="R11" i="30"/>
  <c r="K59" i="30"/>
  <c r="K10" i="30" s="1"/>
  <c r="P161" i="30"/>
  <c r="Q268" i="30"/>
  <c r="P268" i="30"/>
  <c r="P81" i="30"/>
  <c r="P80" i="30" s="1"/>
  <c r="N108" i="30"/>
  <c r="N107" i="30" s="1"/>
  <c r="N253" i="30"/>
  <c r="N238" i="30" s="1"/>
  <c r="P61" i="30"/>
  <c r="P60" i="30" s="1"/>
  <c r="O149" i="31" l="1"/>
  <c r="L98" i="32"/>
  <c r="L9" i="32" s="1"/>
  <c r="K10" i="32"/>
  <c r="P10" i="32"/>
  <c r="P9" i="32" s="1"/>
  <c r="M9" i="32"/>
  <c r="J9" i="32"/>
  <c r="O98" i="32"/>
  <c r="O9" i="32" s="1"/>
  <c r="K72" i="32"/>
  <c r="K9" i="32" s="1"/>
  <c r="O183" i="31"/>
  <c r="O9" i="31"/>
  <c r="R151" i="31"/>
  <c r="K9" i="31"/>
  <c r="Q58" i="31"/>
  <c r="U10" i="31"/>
  <c r="N9" i="31"/>
  <c r="P9" i="31"/>
  <c r="M9" i="31"/>
  <c r="N10" i="30"/>
  <c r="P59" i="30"/>
  <c r="P144" i="30"/>
  <c r="S10" i="31" l="1"/>
  <c r="S9" i="31"/>
  <c r="P10" i="30"/>
  <c r="AA58" i="20" l="1"/>
  <c r="M40" i="29" l="1"/>
  <c r="L40" i="29"/>
  <c r="M39" i="29"/>
  <c r="M8" i="29"/>
  <c r="I8" i="29"/>
  <c r="J8" i="29"/>
  <c r="K8" i="29"/>
  <c r="L8" i="29"/>
  <c r="H8" i="29"/>
  <c r="I100" i="29" l="1"/>
  <c r="I101" i="29"/>
  <c r="I102" i="29"/>
  <c r="I103" i="29"/>
  <c r="I104" i="29"/>
  <c r="I99" i="29"/>
  <c r="I97" i="29"/>
  <c r="I96" i="29"/>
  <c r="N250" i="22" l="1"/>
  <c r="N251" i="22"/>
  <c r="N249" i="22"/>
  <c r="M215" i="22" l="1"/>
  <c r="R242" i="22"/>
  <c r="M15" i="22"/>
  <c r="M35" i="22"/>
  <c r="M34" i="22"/>
  <c r="M33" i="22"/>
  <c r="M32" i="22"/>
  <c r="M31" i="22"/>
  <c r="M30" i="22"/>
  <c r="M29" i="22"/>
  <c r="M28" i="22"/>
  <c r="M27" i="22"/>
  <c r="M26" i="22"/>
  <c r="M25" i="22"/>
  <c r="M24" i="22"/>
  <c r="M23" i="22"/>
  <c r="O221" i="22"/>
  <c r="O220" i="22"/>
  <c r="O219" i="22"/>
  <c r="O218" i="22"/>
  <c r="O49" i="22"/>
  <c r="R49" i="22"/>
  <c r="R12" i="20"/>
  <c r="R65" i="20"/>
  <c r="R47" i="22"/>
  <c r="O68" i="22" l="1"/>
  <c r="R68" i="22"/>
  <c r="N37" i="22"/>
  <c r="M22" i="22"/>
  <c r="R22" i="22"/>
  <c r="E22" i="22"/>
  <c r="N35" i="22"/>
  <c r="N34" i="22"/>
  <c r="N33" i="22"/>
  <c r="N32" i="22"/>
  <c r="N31" i="22"/>
  <c r="N30" i="22"/>
  <c r="N29" i="22"/>
  <c r="N28" i="22"/>
  <c r="N27" i="22"/>
  <c r="N26" i="22"/>
  <c r="N25" i="22"/>
  <c r="N24" i="22"/>
  <c r="N36" i="22"/>
  <c r="N23" i="22"/>
  <c r="R74" i="22"/>
  <c r="R51" i="22"/>
  <c r="N83" i="22"/>
  <c r="N84" i="22"/>
  <c r="N22" i="22" l="1"/>
  <c r="F248" i="22"/>
  <c r="G248" i="22"/>
  <c r="H248" i="22"/>
  <c r="I248" i="22"/>
  <c r="J248" i="22"/>
  <c r="K248" i="22"/>
  <c r="L248" i="22"/>
  <c r="M248" i="22"/>
  <c r="N248" i="22"/>
  <c r="O248" i="22"/>
  <c r="P248" i="22"/>
  <c r="Q248" i="22"/>
  <c r="E248" i="22"/>
  <c r="R250" i="22"/>
  <c r="R251" i="22"/>
  <c r="R249" i="22"/>
  <c r="R248" i="22" s="1"/>
  <c r="R13" i="22"/>
  <c r="R15" i="22" l="1"/>
  <c r="W131" i="20"/>
  <c r="V147" i="20" l="1"/>
  <c r="R147" i="20" l="1"/>
  <c r="R146" i="20" l="1"/>
  <c r="R215" i="22"/>
  <c r="N157" i="22"/>
  <c r="O126" i="22"/>
  <c r="R99" i="20"/>
  <c r="Y99" i="20"/>
  <c r="W135" i="20"/>
  <c r="Y135" i="20"/>
  <c r="R140" i="20"/>
  <c r="F140" i="20"/>
  <c r="P137" i="20" l="1"/>
  <c r="W65" i="20" l="1"/>
  <c r="W86" i="20"/>
  <c r="Y86" i="20"/>
  <c r="Q92" i="20"/>
  <c r="F90" i="20"/>
  <c r="G90" i="20"/>
  <c r="H90" i="20"/>
  <c r="I90" i="20"/>
  <c r="J90" i="20"/>
  <c r="K90" i="20"/>
  <c r="L90" i="20"/>
  <c r="M90" i="20"/>
  <c r="N90" i="20"/>
  <c r="O90" i="20"/>
  <c r="P90" i="20"/>
  <c r="Q90" i="20"/>
  <c r="R90" i="20"/>
  <c r="S90" i="20"/>
  <c r="T90" i="20"/>
  <c r="U90" i="20"/>
  <c r="V90" i="20"/>
  <c r="W90" i="20"/>
  <c r="X90" i="20"/>
  <c r="Y90" i="20"/>
  <c r="Z90" i="20"/>
  <c r="AA90" i="20"/>
  <c r="E90" i="20"/>
  <c r="Q110" i="20" l="1"/>
  <c r="Q111" i="20"/>
  <c r="Q109" i="20"/>
  <c r="I69" i="20"/>
  <c r="E69" i="20"/>
  <c r="F80" i="20"/>
  <c r="G80" i="20"/>
  <c r="H80" i="20"/>
  <c r="I80" i="20"/>
  <c r="J80" i="20"/>
  <c r="K80" i="20"/>
  <c r="L80" i="20"/>
  <c r="M80" i="20"/>
  <c r="N80" i="20"/>
  <c r="O80" i="20"/>
  <c r="P80" i="20"/>
  <c r="Q80" i="20"/>
  <c r="R80" i="20"/>
  <c r="S80" i="20"/>
  <c r="T80" i="20"/>
  <c r="U80" i="20"/>
  <c r="V80" i="20"/>
  <c r="W80" i="20"/>
  <c r="X80" i="20"/>
  <c r="Y80" i="20"/>
  <c r="E80" i="20"/>
  <c r="Q81" i="20"/>
  <c r="R145" i="20" l="1"/>
  <c r="Y65" i="20"/>
  <c r="N76" i="22"/>
  <c r="L61" i="23"/>
  <c r="Q102" i="20"/>
  <c r="R21" i="22"/>
  <c r="M21" i="22"/>
  <c r="N40" i="22"/>
  <c r="N38" i="22"/>
  <c r="N39" i="22"/>
  <c r="N21" i="22" l="1"/>
  <c r="Y145" i="20"/>
  <c r="Q12" i="20" l="1"/>
  <c r="L18" i="23" l="1"/>
  <c r="L16" i="23"/>
  <c r="L17" i="23"/>
  <c r="L15" i="23"/>
  <c r="N207" i="22"/>
  <c r="M113" i="23"/>
  <c r="L113" i="23"/>
  <c r="M112" i="23"/>
  <c r="M111" i="23"/>
  <c r="L111" i="23"/>
  <c r="L110" i="23"/>
  <c r="M110" i="23" s="1"/>
  <c r="L109" i="23"/>
  <c r="M109" i="23"/>
  <c r="L108" i="23"/>
  <c r="M108" i="23" s="1"/>
  <c r="L107" i="23"/>
  <c r="M107" i="23" s="1"/>
  <c r="L106" i="23"/>
  <c r="M106" i="23" s="1"/>
  <c r="L105" i="23"/>
  <c r="M105" i="23" s="1"/>
  <c r="L102" i="23"/>
  <c r="M102" i="23" s="1"/>
  <c r="M101" i="23" s="1"/>
  <c r="L100" i="23"/>
  <c r="L99" i="23"/>
  <c r="M99" i="23" s="1"/>
  <c r="L98" i="23"/>
  <c r="M98" i="23" s="1"/>
  <c r="L97" i="23"/>
  <c r="M97" i="23" s="1"/>
  <c r="M100" i="23"/>
  <c r="L96" i="23"/>
  <c r="M96" i="23" s="1"/>
  <c r="L94" i="23"/>
  <c r="M94" i="23" s="1"/>
  <c r="M95" i="23"/>
  <c r="M93" i="23"/>
  <c r="L93" i="23"/>
  <c r="L92" i="23"/>
  <c r="M92" i="23" s="1"/>
  <c r="L89" i="23"/>
  <c r="M89" i="23" s="1"/>
  <c r="M87" i="23" s="1"/>
  <c r="L88" i="23"/>
  <c r="M88" i="23" s="1"/>
  <c r="L86" i="23"/>
  <c r="M86" i="23"/>
  <c r="L85" i="23"/>
  <c r="M85" i="23" s="1"/>
  <c r="L84" i="23"/>
  <c r="M84" i="23" s="1"/>
  <c r="L83" i="23"/>
  <c r="M83" i="23" s="1"/>
  <c r="L82" i="23"/>
  <c r="L81" i="23"/>
  <c r="M81" i="23"/>
  <c r="M82" i="23"/>
  <c r="M80" i="23"/>
  <c r="L80" i="23"/>
  <c r="L77" i="23"/>
  <c r="M77" i="23" s="1"/>
  <c r="L76" i="23"/>
  <c r="M76" i="23" s="1"/>
  <c r="L73" i="23"/>
  <c r="M73" i="23" s="1"/>
  <c r="L72" i="23"/>
  <c r="M72" i="23"/>
  <c r="M70" i="23"/>
  <c r="L70" i="23"/>
  <c r="M69" i="23"/>
  <c r="L68" i="23"/>
  <c r="M68" i="23" s="1"/>
  <c r="L67" i="23"/>
  <c r="M67" i="23"/>
  <c r="M66" i="23"/>
  <c r="L66" i="23"/>
  <c r="L63" i="23"/>
  <c r="M63" i="23" s="1"/>
  <c r="M61" i="23"/>
  <c r="L60" i="23"/>
  <c r="M60" i="23" s="1"/>
  <c r="L58" i="23"/>
  <c r="M58" i="23" s="1"/>
  <c r="M57" i="23"/>
  <c r="L57" i="23"/>
  <c r="L56" i="23"/>
  <c r="L55" i="23"/>
  <c r="M55" i="23" s="1"/>
  <c r="L54" i="23"/>
  <c r="M54" i="23" s="1"/>
  <c r="M56" i="23"/>
  <c r="L50" i="23"/>
  <c r="M50" i="23" s="1"/>
  <c r="L49" i="23"/>
  <c r="M49" i="23" s="1"/>
  <c r="L48" i="23"/>
  <c r="L51" i="23"/>
  <c r="M51" i="23" s="1"/>
  <c r="M48" i="23"/>
  <c r="L46" i="23"/>
  <c r="M46" i="23" s="1"/>
  <c r="L45" i="23"/>
  <c r="M45" i="23" s="1"/>
  <c r="L43" i="23"/>
  <c r="M43" i="23" s="1"/>
  <c r="L40" i="23"/>
  <c r="M40" i="23" s="1"/>
  <c r="M39" i="23"/>
  <c r="L39" i="23"/>
  <c r="L38" i="23"/>
  <c r="M38" i="23" s="1"/>
  <c r="M37" i="23"/>
  <c r="L37" i="23"/>
  <c r="M35" i="23"/>
  <c r="L35" i="23"/>
  <c r="O245" i="22"/>
  <c r="P245" i="22"/>
  <c r="Q245" i="22"/>
  <c r="R244" i="22"/>
  <c r="R243" i="22" s="1"/>
  <c r="N242" i="22"/>
  <c r="N241" i="22" s="1"/>
  <c r="O241" i="22"/>
  <c r="P241" i="22"/>
  <c r="Q241" i="22"/>
  <c r="R238" i="22"/>
  <c r="R237" i="22" s="1"/>
  <c r="O232" i="22"/>
  <c r="N232" i="22" s="1"/>
  <c r="O231" i="22"/>
  <c r="N231" i="22" s="1"/>
  <c r="O230" i="22"/>
  <c r="N230" i="22" s="1"/>
  <c r="O229" i="22"/>
  <c r="N229" i="22" s="1"/>
  <c r="O228" i="22"/>
  <c r="N228" i="22" s="1"/>
  <c r="M227" i="22"/>
  <c r="O227" i="22" s="1"/>
  <c r="N227" i="22" s="1"/>
  <c r="O226" i="22"/>
  <c r="N226" i="22" s="1"/>
  <c r="O224" i="22"/>
  <c r="N224" i="22" s="1"/>
  <c r="O223" i="22"/>
  <c r="N223" i="22" s="1"/>
  <c r="O222" i="22"/>
  <c r="N222" i="22" s="1"/>
  <c r="M222" i="22"/>
  <c r="N217" i="22"/>
  <c r="N216" i="22"/>
  <c r="N215" i="22"/>
  <c r="R214" i="22"/>
  <c r="O213" i="22"/>
  <c r="N213" i="22" s="1"/>
  <c r="O211" i="22"/>
  <c r="N211" i="22" s="1"/>
  <c r="O212" i="22"/>
  <c r="N212" i="22" s="1"/>
  <c r="O209" i="22"/>
  <c r="N209" i="22" s="1"/>
  <c r="O210" i="22"/>
  <c r="N210" i="22" s="1"/>
  <c r="O208" i="22"/>
  <c r="N208" i="22" s="1"/>
  <c r="O206" i="22"/>
  <c r="N206" i="22" s="1"/>
  <c r="O203" i="22"/>
  <c r="N203" i="22" s="1"/>
  <c r="O204" i="22"/>
  <c r="N204" i="22" s="1"/>
  <c r="O205" i="22"/>
  <c r="N205" i="22" s="1"/>
  <c r="O200" i="22"/>
  <c r="N200" i="22" s="1"/>
  <c r="O201" i="22"/>
  <c r="N201" i="22" s="1"/>
  <c r="O202" i="22"/>
  <c r="N202" i="22" s="1"/>
  <c r="O197" i="22"/>
  <c r="N197" i="22" s="1"/>
  <c r="O198" i="22"/>
  <c r="N198" i="22" s="1"/>
  <c r="O199" i="22"/>
  <c r="N199" i="22" s="1"/>
  <c r="O194" i="22"/>
  <c r="N194" i="22" s="1"/>
  <c r="O195" i="22"/>
  <c r="N195" i="22" s="1"/>
  <c r="O196" i="22"/>
  <c r="N196" i="22" s="1"/>
  <c r="O191" i="22"/>
  <c r="N191" i="22" s="1"/>
  <c r="O192" i="22"/>
  <c r="N192" i="22" s="1"/>
  <c r="O193" i="22"/>
  <c r="N193" i="22" s="1"/>
  <c r="O190" i="22"/>
  <c r="N190" i="22" s="1"/>
  <c r="O187" i="22"/>
  <c r="N187" i="22" s="1"/>
  <c r="O188" i="22"/>
  <c r="N188" i="22" s="1"/>
  <c r="O189" i="22"/>
  <c r="N189" i="22" s="1"/>
  <c r="O185" i="22"/>
  <c r="N185" i="22" s="1"/>
  <c r="O186" i="22"/>
  <c r="N186" i="22" s="1"/>
  <c r="O183" i="22"/>
  <c r="N183" i="22" s="1"/>
  <c r="O184" i="22"/>
  <c r="N184" i="22" s="1"/>
  <c r="O182" i="22"/>
  <c r="N182" i="22" s="1"/>
  <c r="O177" i="22"/>
  <c r="N177" i="22" s="1"/>
  <c r="O173" i="22"/>
  <c r="N173" i="22" s="1"/>
  <c r="O174" i="22"/>
  <c r="N174" i="22" s="1"/>
  <c r="O175" i="22"/>
  <c r="N175" i="22" s="1"/>
  <c r="O176" i="22"/>
  <c r="N176" i="22" s="1"/>
  <c r="O172" i="22"/>
  <c r="N172" i="22" s="1"/>
  <c r="O170" i="22"/>
  <c r="N170" i="22" s="1"/>
  <c r="M166" i="22"/>
  <c r="O166" i="22"/>
  <c r="N166" i="22" s="1"/>
  <c r="O165" i="22"/>
  <c r="N165" i="22" s="1"/>
  <c r="O164" i="22"/>
  <c r="N164" i="22" s="1"/>
  <c r="O162" i="22"/>
  <c r="O161" i="22" s="1"/>
  <c r="O160" i="22" s="1"/>
  <c r="M156" i="22"/>
  <c r="O156" i="22" s="1"/>
  <c r="N156" i="22" s="1"/>
  <c r="O155" i="22"/>
  <c r="N155" i="22" s="1"/>
  <c r="O158" i="22"/>
  <c r="N158" i="22" s="1"/>
  <c r="O154" i="22"/>
  <c r="N154" i="22" s="1"/>
  <c r="M154" i="22"/>
  <c r="O153" i="22"/>
  <c r="N153" i="22" s="1"/>
  <c r="O152" i="22"/>
  <c r="N152" i="22" s="1"/>
  <c r="M152" i="22"/>
  <c r="O150" i="22"/>
  <c r="N150" i="22" s="1"/>
  <c r="R148" i="22"/>
  <c r="N148" i="22" s="1"/>
  <c r="O147" i="22"/>
  <c r="N147" i="22" s="1"/>
  <c r="O146" i="22"/>
  <c r="N146" i="22" s="1"/>
  <c r="O142" i="22"/>
  <c r="N142" i="22" s="1"/>
  <c r="N141" i="22" s="1"/>
  <c r="N140" i="22" s="1"/>
  <c r="N139" i="22" s="1"/>
  <c r="M138" i="22"/>
  <c r="O138" i="22" s="1"/>
  <c r="N138" i="22" s="1"/>
  <c r="O137" i="22"/>
  <c r="N137" i="22" s="1"/>
  <c r="M137" i="22"/>
  <c r="O136" i="22"/>
  <c r="N136" i="22" s="1"/>
  <c r="O135" i="22"/>
  <c r="N135" i="22" s="1"/>
  <c r="M135" i="22"/>
  <c r="O134" i="22"/>
  <c r="N134" i="22" s="1"/>
  <c r="M134" i="22"/>
  <c r="R133" i="22"/>
  <c r="N133" i="22" s="1"/>
  <c r="M132" i="22"/>
  <c r="O132" i="22" s="1"/>
  <c r="N132" i="22" s="1"/>
  <c r="O131" i="22"/>
  <c r="N131" i="22" s="1"/>
  <c r="O130" i="22"/>
  <c r="N130" i="22" s="1"/>
  <c r="M128" i="22"/>
  <c r="O128" i="22" s="1"/>
  <c r="N128" i="22" s="1"/>
  <c r="M127" i="22"/>
  <c r="O127" i="22" s="1"/>
  <c r="N127" i="22" s="1"/>
  <c r="O129" i="22"/>
  <c r="N129" i="22" s="1"/>
  <c r="M123" i="22"/>
  <c r="O123" i="22"/>
  <c r="N123" i="22" s="1"/>
  <c r="R122" i="22"/>
  <c r="M121" i="22"/>
  <c r="O121" i="22" s="1"/>
  <c r="O120" i="22"/>
  <c r="N120" i="22" s="1"/>
  <c r="O119" i="22"/>
  <c r="N119" i="22" s="1"/>
  <c r="O118" i="22"/>
  <c r="N118" i="22" s="1"/>
  <c r="O115" i="22"/>
  <c r="N115" i="22" s="1"/>
  <c r="N114" i="22" s="1"/>
  <c r="O114" i="22"/>
  <c r="O110" i="22"/>
  <c r="N110" i="22" s="1"/>
  <c r="O107" i="22"/>
  <c r="N107" i="22" s="1"/>
  <c r="M107" i="22"/>
  <c r="M106" i="22"/>
  <c r="O106" i="22" s="1"/>
  <c r="N106" i="22" s="1"/>
  <c r="O105" i="22"/>
  <c r="N105" i="22" s="1"/>
  <c r="O102" i="22"/>
  <c r="N102" i="22" s="1"/>
  <c r="O101" i="22"/>
  <c r="N101" i="22" s="1"/>
  <c r="M101" i="22" s="1"/>
  <c r="O100" i="22"/>
  <c r="N100" i="22"/>
  <c r="M100" i="22" s="1"/>
  <c r="O99" i="22"/>
  <c r="N99" i="22" s="1"/>
  <c r="O98" i="22"/>
  <c r="N98" i="22" s="1"/>
  <c r="M98" i="22" s="1"/>
  <c r="O95" i="22"/>
  <c r="N95" i="22" s="1"/>
  <c r="O96" i="22"/>
  <c r="N96" i="22" s="1"/>
  <c r="O97" i="22"/>
  <c r="N97" i="22" s="1"/>
  <c r="O94" i="22"/>
  <c r="N94" i="22" s="1"/>
  <c r="M93" i="22"/>
  <c r="O93" i="22" s="1"/>
  <c r="N93" i="22" s="1"/>
  <c r="M92" i="22"/>
  <c r="O92" i="22" s="1"/>
  <c r="P91" i="22"/>
  <c r="Q91" i="22"/>
  <c r="R91" i="22"/>
  <c r="O89" i="22"/>
  <c r="N89" i="22" s="1"/>
  <c r="O90" i="22"/>
  <c r="N90" i="22" s="1"/>
  <c r="O87" i="22"/>
  <c r="N87" i="22" s="1"/>
  <c r="O88" i="22"/>
  <c r="N88" i="22" s="1"/>
  <c r="O86" i="22"/>
  <c r="N86" i="22" s="1"/>
  <c r="O85" i="22"/>
  <c r="N85" i="22" s="1"/>
  <c r="M82" i="22"/>
  <c r="O82" i="22" s="1"/>
  <c r="N82" i="22" s="1"/>
  <c r="O81" i="22"/>
  <c r="N81" i="22" s="1"/>
  <c r="R80" i="22"/>
  <c r="R79" i="22" s="1"/>
  <c r="O73" i="22"/>
  <c r="E73" i="22"/>
  <c r="N75" i="22"/>
  <c r="M74" i="22"/>
  <c r="R65" i="22"/>
  <c r="M68" i="22"/>
  <c r="O67" i="22"/>
  <c r="N67" i="22" s="1"/>
  <c r="M67" i="22"/>
  <c r="R63" i="22"/>
  <c r="R62" i="22"/>
  <c r="N62" i="22" s="1"/>
  <c r="M61" i="22"/>
  <c r="O61" i="22" s="1"/>
  <c r="N61" i="22" s="1"/>
  <c r="M60" i="22"/>
  <c r="O60" i="22" s="1"/>
  <c r="N60" i="22" s="1"/>
  <c r="O59" i="22"/>
  <c r="N59" i="22" s="1"/>
  <c r="M58" i="22"/>
  <c r="O58" i="22" s="1"/>
  <c r="N58" i="22" s="1"/>
  <c r="O56" i="22"/>
  <c r="O55" i="22" s="1"/>
  <c r="G50" i="22"/>
  <c r="O50" i="22"/>
  <c r="R50" i="22"/>
  <c r="E50" i="22"/>
  <c r="M49" i="22"/>
  <c r="N49" i="22"/>
  <c r="R44" i="22"/>
  <c r="G20" i="22"/>
  <c r="N20" i="22"/>
  <c r="M20" i="22"/>
  <c r="M17" i="22"/>
  <c r="R241" i="22" l="1"/>
  <c r="R240" i="22" s="1"/>
  <c r="N238" i="22"/>
  <c r="N237" i="22" s="1"/>
  <c r="N244" i="22"/>
  <c r="N243" i="22" s="1"/>
  <c r="P240" i="22"/>
  <c r="P239" i="22" s="1"/>
  <c r="O240" i="22"/>
  <c r="O239" i="22" s="1"/>
  <c r="Q240" i="22"/>
  <c r="Q239" i="22" s="1"/>
  <c r="M104" i="23"/>
  <c r="M103" i="23" s="1"/>
  <c r="M91" i="23"/>
  <c r="M90" i="23" s="1"/>
  <c r="M79" i="23"/>
  <c r="M78" i="23" s="1"/>
  <c r="M65" i="23"/>
  <c r="M53" i="23"/>
  <c r="M47" i="23"/>
  <c r="N240" i="22"/>
  <c r="R233" i="22"/>
  <c r="O214" i="22"/>
  <c r="R57" i="22"/>
  <c r="R54" i="22" s="1"/>
  <c r="R53" i="22" s="1"/>
  <c r="N68" i="22"/>
  <c r="N162" i="22"/>
  <c r="N161" i="22" s="1"/>
  <c r="N160" i="22" s="1"/>
  <c r="O141" i="22"/>
  <c r="O140" i="22" s="1"/>
  <c r="O139" i="22" s="1"/>
  <c r="R145" i="22"/>
  <c r="R144" i="22" s="1"/>
  <c r="R143" i="22" s="1"/>
  <c r="R178" i="22"/>
  <c r="O180" i="22"/>
  <c r="O179" i="22" s="1"/>
  <c r="N180" i="22"/>
  <c r="N179" i="22" s="1"/>
  <c r="N167" i="22"/>
  <c r="N163" i="22" s="1"/>
  <c r="O167" i="22"/>
  <c r="O163" i="22" s="1"/>
  <c r="O159" i="22" s="1"/>
  <c r="M73" i="22"/>
  <c r="O145" i="22"/>
  <c r="O144" i="22" s="1"/>
  <c r="N145" i="22"/>
  <c r="N144" i="22" s="1"/>
  <c r="N63" i="22"/>
  <c r="O149" i="22"/>
  <c r="N74" i="22"/>
  <c r="R73" i="22"/>
  <c r="R69" i="22" s="1"/>
  <c r="N121" i="22"/>
  <c r="N116" i="22" s="1"/>
  <c r="N113" i="22" s="1"/>
  <c r="O116" i="22"/>
  <c r="O113" i="22" s="1"/>
  <c r="N56" i="22"/>
  <c r="N55" i="22" s="1"/>
  <c r="N65" i="22"/>
  <c r="N45" i="22"/>
  <c r="N44" i="22" s="1"/>
  <c r="O80" i="22"/>
  <c r="O79" i="22" s="1"/>
  <c r="O122" i="22"/>
  <c r="R112" i="22"/>
  <c r="R111" i="22" s="1"/>
  <c r="N92" i="22"/>
  <c r="R78" i="22"/>
  <c r="N80" i="22"/>
  <c r="N79" i="22" s="1"/>
  <c r="O65" i="22"/>
  <c r="O13" i="22"/>
  <c r="M13" i="22"/>
  <c r="O12" i="22"/>
  <c r="N12" i="22" s="1"/>
  <c r="M12" i="22"/>
  <c r="Q149" i="20"/>
  <c r="Q91" i="20"/>
  <c r="P149" i="20"/>
  <c r="F135" i="20"/>
  <c r="G135" i="20"/>
  <c r="Y71" i="20"/>
  <c r="Y70" i="20" s="1"/>
  <c r="Y69" i="20" s="1"/>
  <c r="U11" i="20"/>
  <c r="Q101" i="20"/>
  <c r="R148" i="20"/>
  <c r="Q148" i="20" s="1"/>
  <c r="P144" i="20"/>
  <c r="R144" i="20" s="1"/>
  <c r="Q144" i="20" s="1"/>
  <c r="R143" i="20"/>
  <c r="Q143" i="20" s="1"/>
  <c r="P143" i="20"/>
  <c r="R142" i="20"/>
  <c r="Q142" i="20" s="1"/>
  <c r="R141" i="20"/>
  <c r="Q141" i="20" s="1"/>
  <c r="P141" i="20" s="1"/>
  <c r="R247" i="22"/>
  <c r="Q140" i="20"/>
  <c r="P140" i="20" s="1"/>
  <c r="P139" i="20"/>
  <c r="R139" i="20" s="1"/>
  <c r="Q139" i="20" s="1"/>
  <c r="R134" i="20"/>
  <c r="R133" i="20" s="1"/>
  <c r="R132" i="20" s="1"/>
  <c r="P134" i="20"/>
  <c r="P133" i="20" s="1"/>
  <c r="P132" i="20" s="1"/>
  <c r="P130" i="20"/>
  <c r="R130" i="20" s="1"/>
  <c r="Q130" i="20" s="1"/>
  <c r="R129" i="20"/>
  <c r="Q129" i="20" s="1"/>
  <c r="P129" i="20" s="1"/>
  <c r="P125" i="20"/>
  <c r="R125" i="20" s="1"/>
  <c r="Q125" i="20" s="1"/>
  <c r="R124" i="20"/>
  <c r="R123" i="20"/>
  <c r="R122" i="20"/>
  <c r="R121" i="20"/>
  <c r="P128" i="20"/>
  <c r="R128" i="20" s="1"/>
  <c r="Q128" i="20" s="1"/>
  <c r="P127" i="20"/>
  <c r="R127" i="20" s="1"/>
  <c r="Q127" i="20" s="1"/>
  <c r="P126" i="20"/>
  <c r="R126" i="20" s="1"/>
  <c r="Q126" i="20" s="1"/>
  <c r="P119" i="20"/>
  <c r="R119" i="20" s="1"/>
  <c r="Q119" i="20" s="1"/>
  <c r="G118" i="20"/>
  <c r="R117" i="20"/>
  <c r="Q117" i="20" s="1"/>
  <c r="P117" i="20" s="1"/>
  <c r="R116" i="20"/>
  <c r="Q116" i="20" s="1"/>
  <c r="E105" i="20"/>
  <c r="E104" i="20" s="1"/>
  <c r="F99" i="20"/>
  <c r="E99" i="20"/>
  <c r="R100" i="20"/>
  <c r="O53" i="20"/>
  <c r="O59" i="20"/>
  <c r="O83" i="20"/>
  <c r="O82" i="20" s="1"/>
  <c r="O88" i="20"/>
  <c r="R98" i="20"/>
  <c r="Q98" i="20" s="1"/>
  <c r="R97" i="20"/>
  <c r="Q97" i="20" s="1"/>
  <c r="P97" i="20" s="1"/>
  <c r="O72" i="22"/>
  <c r="R96" i="20"/>
  <c r="R89" i="20"/>
  <c r="R88" i="20" s="1"/>
  <c r="J88" i="20"/>
  <c r="K88" i="20"/>
  <c r="L88" i="20"/>
  <c r="M88" i="20"/>
  <c r="N88" i="20"/>
  <c r="R82" i="20"/>
  <c r="R83" i="20"/>
  <c r="S83" i="20"/>
  <c r="S82" i="20" s="1"/>
  <c r="T83" i="20"/>
  <c r="T82" i="20" s="1"/>
  <c r="U83" i="20"/>
  <c r="U82" i="20" s="1"/>
  <c r="V83" i="20"/>
  <c r="V82" i="20" s="1"/>
  <c r="W83" i="20"/>
  <c r="W82" i="20" s="1"/>
  <c r="X83" i="20"/>
  <c r="X82" i="20" s="1"/>
  <c r="Y83" i="20"/>
  <c r="Y82" i="20" s="1"/>
  <c r="F83" i="20"/>
  <c r="F82" i="20" s="1"/>
  <c r="G83" i="20"/>
  <c r="G82" i="20" s="1"/>
  <c r="H83" i="20"/>
  <c r="H82" i="20" s="1"/>
  <c r="I83" i="20"/>
  <c r="I82" i="20" s="1"/>
  <c r="J83" i="20"/>
  <c r="J82" i="20" s="1"/>
  <c r="K83" i="20"/>
  <c r="K82" i="20" s="1"/>
  <c r="L83" i="20"/>
  <c r="L82" i="20" s="1"/>
  <c r="M83" i="20"/>
  <c r="M82" i="20" s="1"/>
  <c r="N83" i="20"/>
  <c r="N82" i="20" s="1"/>
  <c r="E83" i="20"/>
  <c r="E82" i="20" s="1"/>
  <c r="R79" i="20"/>
  <c r="Q79" i="20" s="1"/>
  <c r="P79" i="20" s="1"/>
  <c r="R78" i="20"/>
  <c r="Q78" i="20" s="1"/>
  <c r="P78" i="20" s="1"/>
  <c r="O64" i="22"/>
  <c r="N64" i="22" s="1"/>
  <c r="P76" i="20"/>
  <c r="R76" i="20"/>
  <c r="R75" i="20"/>
  <c r="Q75" i="20" s="1"/>
  <c r="P75" i="20" s="1"/>
  <c r="R74" i="20"/>
  <c r="Q74" i="20" s="1"/>
  <c r="P74" i="20"/>
  <c r="R73" i="20"/>
  <c r="P73" i="20"/>
  <c r="P72" i="20"/>
  <c r="R72" i="20" s="1"/>
  <c r="Q72" i="20" s="1"/>
  <c r="P67" i="20"/>
  <c r="R67" i="20"/>
  <c r="Z64" i="20"/>
  <c r="Z63" i="20" s="1"/>
  <c r="Z62" i="20" s="1"/>
  <c r="F59" i="20"/>
  <c r="G59" i="20"/>
  <c r="H59" i="20"/>
  <c r="I59" i="20"/>
  <c r="J59" i="20"/>
  <c r="K59" i="20"/>
  <c r="L59" i="20"/>
  <c r="M59" i="20"/>
  <c r="N59" i="20"/>
  <c r="P59" i="20"/>
  <c r="R59" i="20"/>
  <c r="E59" i="20"/>
  <c r="Q58" i="20"/>
  <c r="AA57" i="20"/>
  <c r="Q57" i="20" s="1"/>
  <c r="AA56" i="20"/>
  <c r="Q56" i="20" s="1"/>
  <c r="AA55" i="20"/>
  <c r="Q55" i="20" s="1"/>
  <c r="P53" i="20"/>
  <c r="R53" i="20"/>
  <c r="S53" i="20"/>
  <c r="T53" i="20"/>
  <c r="U53" i="20"/>
  <c r="V53" i="20"/>
  <c r="W53" i="20"/>
  <c r="X53" i="20"/>
  <c r="Y53" i="20"/>
  <c r="Z53" i="20"/>
  <c r="R50" i="20"/>
  <c r="R47" i="20"/>
  <c r="Q47" i="20" s="1"/>
  <c r="F22" i="20"/>
  <c r="R32" i="20"/>
  <c r="Q34" i="20"/>
  <c r="Q35" i="20"/>
  <c r="Q36" i="20"/>
  <c r="Q37" i="20"/>
  <c r="Q38" i="20"/>
  <c r="Q39" i="20"/>
  <c r="Q40" i="20"/>
  <c r="Q41" i="20"/>
  <c r="Q42" i="20"/>
  <c r="Q43" i="20"/>
  <c r="Q44" i="20"/>
  <c r="Q33" i="20"/>
  <c r="R30" i="20"/>
  <c r="Q30" i="20" s="1"/>
  <c r="R28" i="20"/>
  <c r="Q28" i="20" s="1"/>
  <c r="R29" i="20"/>
  <c r="Q29" i="20" s="1"/>
  <c r="R26" i="20"/>
  <c r="Q26" i="20" s="1"/>
  <c r="R27" i="20"/>
  <c r="Q27" i="20" s="1"/>
  <c r="R25" i="20"/>
  <c r="Q25" i="20" s="1"/>
  <c r="R24" i="20"/>
  <c r="R31" i="20"/>
  <c r="Q31" i="20" s="1"/>
  <c r="R20" i="20"/>
  <c r="Q20" i="20" s="1"/>
  <c r="R21" i="20"/>
  <c r="Q21" i="20" s="1"/>
  <c r="R19" i="20"/>
  <c r="Q45" i="20"/>
  <c r="M47" i="22"/>
  <c r="P65" i="20"/>
  <c r="Y64" i="20"/>
  <c r="Y63" i="20" s="1"/>
  <c r="Y62" i="20" s="1"/>
  <c r="R48" i="22"/>
  <c r="O48" i="22"/>
  <c r="R66" i="20"/>
  <c r="Q66" i="20" s="1"/>
  <c r="P66" i="20" s="1"/>
  <c r="N51" i="22"/>
  <c r="Q68" i="20"/>
  <c r="Q67" i="20" s="1"/>
  <c r="O178" i="22" l="1"/>
  <c r="N233" i="22"/>
  <c r="R46" i="20"/>
  <c r="R71" i="20"/>
  <c r="R70" i="20" s="1"/>
  <c r="R69" i="20" s="1"/>
  <c r="R115" i="20"/>
  <c r="R114" i="20" s="1"/>
  <c r="P71" i="20"/>
  <c r="P70" i="20" s="1"/>
  <c r="P69" i="20" s="1"/>
  <c r="P135" i="20"/>
  <c r="P131" i="20" s="1"/>
  <c r="N247" i="22"/>
  <c r="R245" i="22"/>
  <c r="R239" i="22" s="1"/>
  <c r="Y93" i="20"/>
  <c r="N159" i="22"/>
  <c r="O143" i="22"/>
  <c r="N57" i="22"/>
  <c r="N54" i="22" s="1"/>
  <c r="N53" i="22" s="1"/>
  <c r="M51" i="22"/>
  <c r="M50" i="22" s="1"/>
  <c r="N72" i="22"/>
  <c r="O71" i="22"/>
  <c r="O70" i="22" s="1"/>
  <c r="O69" i="22" s="1"/>
  <c r="O57" i="22"/>
  <c r="O54" i="22" s="1"/>
  <c r="O53" i="22" s="1"/>
  <c r="N48" i="22"/>
  <c r="M48" i="22" s="1"/>
  <c r="O112" i="22"/>
  <c r="O111" i="22" s="1"/>
  <c r="Z61" i="20"/>
  <c r="Z11" i="20" s="1"/>
  <c r="Q115" i="20"/>
  <c r="Q114" i="20" s="1"/>
  <c r="P116" i="20"/>
  <c r="P115" i="20" s="1"/>
  <c r="P114" i="20" s="1"/>
  <c r="R95" i="20"/>
  <c r="R94" i="20" s="1"/>
  <c r="R93" i="20" s="1"/>
  <c r="Q134" i="20"/>
  <c r="Q133" i="20" s="1"/>
  <c r="Q132" i="20" s="1"/>
  <c r="R137" i="20"/>
  <c r="Q100" i="20"/>
  <c r="P100" i="20" s="1"/>
  <c r="P118" i="20"/>
  <c r="R118" i="20"/>
  <c r="R87" i="20"/>
  <c r="R86" i="20" s="1"/>
  <c r="P64" i="20"/>
  <c r="P63" i="20" s="1"/>
  <c r="P62" i="20" s="1"/>
  <c r="Q89" i="20"/>
  <c r="Q96" i="20"/>
  <c r="P96" i="20" s="1"/>
  <c r="P95" i="20" s="1"/>
  <c r="P94" i="20" s="1"/>
  <c r="R64" i="20"/>
  <c r="R63" i="20" s="1"/>
  <c r="R62" i="20" s="1"/>
  <c r="AA53" i="20"/>
  <c r="AA11" i="20" s="1"/>
  <c r="Q50" i="20"/>
  <c r="Q46" i="20" s="1"/>
  <c r="R23" i="20"/>
  <c r="R22" i="20" s="1"/>
  <c r="Q32" i="20"/>
  <c r="Q24" i="20"/>
  <c r="Q23" i="20" s="1"/>
  <c r="Q53" i="20"/>
  <c r="R18" i="20"/>
  <c r="Q19" i="20"/>
  <c r="Q18" i="20" s="1"/>
  <c r="Q137" i="20" l="1"/>
  <c r="R135" i="20"/>
  <c r="R131" i="20" s="1"/>
  <c r="R61" i="20" s="1"/>
  <c r="R11" i="20" s="1"/>
  <c r="R113" i="20"/>
  <c r="P113" i="20"/>
  <c r="M72" i="22"/>
  <c r="N71" i="22"/>
  <c r="N70" i="22" s="1"/>
  <c r="Q95" i="20"/>
  <c r="Q94" i="20" s="1"/>
  <c r="Q88" i="20"/>
  <c r="P89" i="20"/>
  <c r="P88" i="20" s="1"/>
  <c r="Q22" i="20"/>
  <c r="P87" i="20" l="1"/>
  <c r="P86" i="20" s="1"/>
  <c r="Q87" i="20"/>
  <c r="Q86" i="20" s="1"/>
  <c r="M36" i="23"/>
  <c r="M34" i="23"/>
  <c r="M33" i="23" s="1"/>
  <c r="M32" i="23"/>
  <c r="M30" i="23"/>
  <c r="M31" i="23"/>
  <c r="M29" i="23"/>
  <c r="M28" i="23"/>
  <c r="R46" i="22"/>
  <c r="R43" i="22" s="1"/>
  <c r="R42" i="22" s="1"/>
  <c r="R41" i="22" s="1"/>
  <c r="V65" i="20"/>
  <c r="V64" i="20" s="1"/>
  <c r="V63" i="20" s="1"/>
  <c r="V62" i="20" s="1"/>
  <c r="X65" i="20"/>
  <c r="X64" i="20" s="1"/>
  <c r="X63" i="20" s="1"/>
  <c r="X62" i="20" s="1"/>
  <c r="W64" i="20"/>
  <c r="W63" i="20" s="1"/>
  <c r="W62" i="20" s="1"/>
  <c r="X61" i="20" l="1"/>
  <c r="X11" i="20" s="1"/>
  <c r="N225" i="22"/>
  <c r="M27" i="23" l="1"/>
  <c r="L27" i="23" s="1"/>
  <c r="M26" i="23"/>
  <c r="M25" i="23"/>
  <c r="M24" i="23" s="1"/>
  <c r="M23" i="23" s="1"/>
  <c r="M22" i="23"/>
  <c r="M21" i="23" s="1"/>
  <c r="M20" i="23" s="1"/>
  <c r="M14" i="23"/>
  <c r="M13" i="23"/>
  <c r="M12" i="23"/>
  <c r="M11" i="23"/>
  <c r="M10" i="23" s="1"/>
  <c r="K112" i="23"/>
  <c r="K104" i="23"/>
  <c r="K103" i="23" s="1"/>
  <c r="K101" i="23"/>
  <c r="K91" i="23"/>
  <c r="K87" i="23"/>
  <c r="K79" i="23"/>
  <c r="K71" i="23"/>
  <c r="K65" i="23"/>
  <c r="K64" i="23" s="1"/>
  <c r="K59" i="23"/>
  <c r="K53" i="23"/>
  <c r="K52" i="23" s="1"/>
  <c r="K47" i="23"/>
  <c r="K42" i="23"/>
  <c r="K34" i="23"/>
  <c r="K33" i="23" s="1"/>
  <c r="K28" i="23"/>
  <c r="K24" i="23"/>
  <c r="K21" i="23"/>
  <c r="K20" i="23"/>
  <c r="K11" i="23"/>
  <c r="K10" i="23" s="1"/>
  <c r="K41" i="23" l="1"/>
  <c r="K19" i="23" s="1"/>
  <c r="K9" i="23" s="1"/>
  <c r="K78" i="23"/>
  <c r="K90" i="23"/>
  <c r="K23" i="23"/>
  <c r="Q60" i="20" l="1"/>
  <c r="Q59" i="20" s="1"/>
  <c r="O19" i="22"/>
  <c r="O17" i="22" s="1"/>
  <c r="N19" i="22" l="1"/>
  <c r="N17" i="22" s="1"/>
  <c r="N246" i="22"/>
  <c r="N245" i="22" s="1"/>
  <c r="N239" i="22" s="1"/>
  <c r="Y131" i="20" l="1"/>
  <c r="Q146" i="20"/>
  <c r="Q145" i="20"/>
  <c r="Q123" i="20"/>
  <c r="Q124" i="20"/>
  <c r="Q121" i="20"/>
  <c r="Q122" i="20"/>
  <c r="Q120" i="20"/>
  <c r="N221" i="22"/>
  <c r="N220" i="22"/>
  <c r="N219" i="22"/>
  <c r="N218" i="22"/>
  <c r="N151" i="22"/>
  <c r="N149" i="22" s="1"/>
  <c r="N143" i="22" s="1"/>
  <c r="N125" i="22"/>
  <c r="N126" i="22"/>
  <c r="N124" i="22"/>
  <c r="N109" i="22"/>
  <c r="N108" i="22"/>
  <c r="N77" i="22"/>
  <c r="N52" i="22"/>
  <c r="N50" i="22" s="1"/>
  <c r="Q65" i="20"/>
  <c r="Q64" i="20" s="1"/>
  <c r="Q63" i="20" s="1"/>
  <c r="Q62" i="20" s="1"/>
  <c r="Q112" i="20"/>
  <c r="P112" i="20" s="1"/>
  <c r="Q108" i="20"/>
  <c r="P108" i="20" s="1"/>
  <c r="Y107" i="20"/>
  <c r="Q106" i="20"/>
  <c r="P106" i="20" s="1"/>
  <c r="Q85" i="20"/>
  <c r="P85" i="20" s="1"/>
  <c r="Q76" i="20"/>
  <c r="Q73" i="20"/>
  <c r="Q71" i="20" s="1"/>
  <c r="Q70" i="20" s="1"/>
  <c r="Q69" i="20" s="1"/>
  <c r="Q103" i="20"/>
  <c r="Q84" i="20"/>
  <c r="Q135" i="20" l="1"/>
  <c r="Q131" i="20" s="1"/>
  <c r="N214" i="22"/>
  <c r="N178" i="22" s="1"/>
  <c r="N122" i="22"/>
  <c r="N112" i="22" s="1"/>
  <c r="N111" i="22" s="1"/>
  <c r="Q99" i="20"/>
  <c r="Q93" i="20" s="1"/>
  <c r="P103" i="20"/>
  <c r="P99" i="20" s="1"/>
  <c r="P93" i="20" s="1"/>
  <c r="Q118" i="20"/>
  <c r="Q113" i="20" s="1"/>
  <c r="Q83" i="20"/>
  <c r="Q82" i="20" s="1"/>
  <c r="P84" i="20"/>
  <c r="P83" i="20" s="1"/>
  <c r="P82" i="20" s="1"/>
  <c r="Q107" i="20"/>
  <c r="P107" i="20" s="1"/>
  <c r="P105" i="20" s="1"/>
  <c r="P104" i="20" s="1"/>
  <c r="Y105" i="20"/>
  <c r="Y104" i="20" s="1"/>
  <c r="Y61" i="20" s="1"/>
  <c r="Y11" i="20" s="1"/>
  <c r="H247" i="22"/>
  <c r="H246" i="22"/>
  <c r="L245" i="22"/>
  <c r="K245" i="22"/>
  <c r="J245" i="22"/>
  <c r="I245" i="22"/>
  <c r="H244" i="22"/>
  <c r="H243" i="22" s="1"/>
  <c r="L243" i="22"/>
  <c r="H242" i="22"/>
  <c r="L241" i="22"/>
  <c r="H241" i="22" s="1"/>
  <c r="K240" i="22"/>
  <c r="J240" i="22"/>
  <c r="I240" i="22"/>
  <c r="H238" i="22"/>
  <c r="H237" i="22" s="1"/>
  <c r="L237" i="22"/>
  <c r="H236" i="22"/>
  <c r="H235" i="22" s="1"/>
  <c r="H234" i="22" s="1"/>
  <c r="L235" i="22"/>
  <c r="L234" i="22" s="1"/>
  <c r="H232" i="22"/>
  <c r="H231" i="22"/>
  <c r="H230" i="22"/>
  <c r="H229" i="22"/>
  <c r="H228" i="22"/>
  <c r="H227" i="22"/>
  <c r="H226" i="22"/>
  <c r="H225" i="22"/>
  <c r="H224" i="22"/>
  <c r="H222" i="22"/>
  <c r="I214" i="22"/>
  <c r="H213" i="22"/>
  <c r="H212" i="22"/>
  <c r="H211" i="22"/>
  <c r="H210" i="22"/>
  <c r="H209" i="22"/>
  <c r="H208" i="22"/>
  <c r="H207" i="22"/>
  <c r="H206" i="22"/>
  <c r="H205" i="22"/>
  <c r="H204" i="22"/>
  <c r="H203" i="22"/>
  <c r="H202" i="22"/>
  <c r="H201" i="22"/>
  <c r="H200" i="22"/>
  <c r="H199" i="22"/>
  <c r="H198" i="22"/>
  <c r="H197" i="22"/>
  <c r="H196" i="22"/>
  <c r="H195" i="22"/>
  <c r="H194" i="22"/>
  <c r="H193" i="22"/>
  <c r="H192" i="22"/>
  <c r="H191" i="22"/>
  <c r="H190" i="22"/>
  <c r="H189" i="22"/>
  <c r="H188" i="22"/>
  <c r="H187" i="22"/>
  <c r="H186" i="22"/>
  <c r="H185" i="22"/>
  <c r="H184" i="22"/>
  <c r="H183" i="22"/>
  <c r="H182" i="22"/>
  <c r="I180" i="22"/>
  <c r="I179" i="22" s="1"/>
  <c r="H167" i="22"/>
  <c r="H166" i="22"/>
  <c r="H165" i="22"/>
  <c r="H164" i="22"/>
  <c r="I163" i="22"/>
  <c r="H162" i="22"/>
  <c r="H161" i="22" s="1"/>
  <c r="H160" i="22" s="1"/>
  <c r="I161" i="22"/>
  <c r="I160" i="22" s="1"/>
  <c r="H158" i="22"/>
  <c r="H156" i="22"/>
  <c r="H155" i="22"/>
  <c r="H154" i="22"/>
  <c r="H153" i="22"/>
  <c r="H152" i="22"/>
  <c r="H150" i="22"/>
  <c r="I149" i="22"/>
  <c r="H148" i="22"/>
  <c r="H147" i="22"/>
  <c r="H146" i="22"/>
  <c r="L145" i="22"/>
  <c r="L144" i="22" s="1"/>
  <c r="L143" i="22" s="1"/>
  <c r="I145" i="22"/>
  <c r="I144" i="22" s="1"/>
  <c r="H142" i="22"/>
  <c r="H141" i="22" s="1"/>
  <c r="H140" i="22" s="1"/>
  <c r="H139" i="22" s="1"/>
  <c r="I141" i="22"/>
  <c r="I140" i="22" s="1"/>
  <c r="I139" i="22" s="1"/>
  <c r="H138" i="22"/>
  <c r="H137" i="22"/>
  <c r="H136" i="22"/>
  <c r="H135" i="22"/>
  <c r="H134" i="22"/>
  <c r="H133" i="22"/>
  <c r="H132" i="22"/>
  <c r="H131" i="22"/>
  <c r="H130" i="22"/>
  <c r="H129" i="22"/>
  <c r="H128" i="22"/>
  <c r="H127" i="22"/>
  <c r="H123" i="22"/>
  <c r="L122" i="22"/>
  <c r="L112" i="22" s="1"/>
  <c r="L111" i="22" s="1"/>
  <c r="I122" i="22"/>
  <c r="H121" i="22"/>
  <c r="H120" i="22"/>
  <c r="H119" i="22"/>
  <c r="H118" i="22"/>
  <c r="I116" i="22"/>
  <c r="H115" i="22"/>
  <c r="H114" i="22" s="1"/>
  <c r="I114" i="22"/>
  <c r="H110" i="22"/>
  <c r="H107" i="22"/>
  <c r="H106" i="22"/>
  <c r="H105" i="22"/>
  <c r="H104" i="22"/>
  <c r="I103" i="22"/>
  <c r="I91" i="22" s="1"/>
  <c r="H101" i="22"/>
  <c r="H100" i="22"/>
  <c r="H99" i="22"/>
  <c r="H98" i="22"/>
  <c r="H97" i="22"/>
  <c r="H96" i="22"/>
  <c r="H95" i="22"/>
  <c r="H94" i="22"/>
  <c r="H93" i="22"/>
  <c r="H92" i="22"/>
  <c r="L91" i="22"/>
  <c r="L78" i="22" s="1"/>
  <c r="K91" i="22"/>
  <c r="J91" i="22"/>
  <c r="H90" i="22"/>
  <c r="H89" i="22"/>
  <c r="H88" i="22"/>
  <c r="H87" i="22"/>
  <c r="H86" i="22"/>
  <c r="H85" i="22"/>
  <c r="H82" i="22"/>
  <c r="H81" i="22"/>
  <c r="I80" i="22"/>
  <c r="I79" i="22" s="1"/>
  <c r="H75" i="22"/>
  <c r="H73" i="22" s="1"/>
  <c r="L74" i="22"/>
  <c r="H72" i="22"/>
  <c r="H71" i="22" s="1"/>
  <c r="H70" i="22" s="1"/>
  <c r="I71" i="22"/>
  <c r="I70" i="22" s="1"/>
  <c r="I69" i="22" s="1"/>
  <c r="H68" i="22"/>
  <c r="H67" i="22"/>
  <c r="L65" i="22"/>
  <c r="I65" i="22"/>
  <c r="I64" i="22"/>
  <c r="H64" i="22" s="1"/>
  <c r="H63" i="22"/>
  <c r="L62" i="22"/>
  <c r="H62" i="22" s="1"/>
  <c r="H61" i="22"/>
  <c r="H60" i="22"/>
  <c r="H59" i="22"/>
  <c r="I58" i="22"/>
  <c r="H56" i="22"/>
  <c r="H55" i="22" s="1"/>
  <c r="I55" i="22"/>
  <c r="L51" i="22"/>
  <c r="L50" i="22" s="1"/>
  <c r="I51" i="22"/>
  <c r="I49" i="22"/>
  <c r="H49" i="22" s="1"/>
  <c r="L48" i="22"/>
  <c r="I48" i="22"/>
  <c r="L47" i="22"/>
  <c r="I47" i="22"/>
  <c r="O47" i="22" s="1"/>
  <c r="L44" i="22"/>
  <c r="H44" i="22"/>
  <c r="L19" i="22"/>
  <c r="L17" i="22" s="1"/>
  <c r="I19" i="22"/>
  <c r="I17" i="22" s="1"/>
  <c r="L15" i="22"/>
  <c r="L13" i="22"/>
  <c r="H12" i="22"/>
  <c r="H58" i="20"/>
  <c r="H149" i="20"/>
  <c r="H148" i="20"/>
  <c r="L147" i="20"/>
  <c r="I145" i="20"/>
  <c r="I135" i="20" s="1"/>
  <c r="H144" i="20"/>
  <c r="H143" i="20"/>
  <c r="H142" i="20"/>
  <c r="H141" i="20"/>
  <c r="H140" i="20"/>
  <c r="H139" i="20"/>
  <c r="H137" i="20"/>
  <c r="H134" i="20"/>
  <c r="H133" i="20" s="1"/>
  <c r="H132" i="20" s="1"/>
  <c r="I133" i="20"/>
  <c r="I132" i="20" s="1"/>
  <c r="I130" i="20"/>
  <c r="I118" i="20" s="1"/>
  <c r="H129" i="20"/>
  <c r="H128" i="20"/>
  <c r="H127" i="20"/>
  <c r="H126" i="20"/>
  <c r="H125" i="20"/>
  <c r="H119" i="20"/>
  <c r="H117" i="20"/>
  <c r="H116" i="20"/>
  <c r="I115" i="20"/>
  <c r="I114" i="20" s="1"/>
  <c r="I100" i="20"/>
  <c r="I99" i="20" s="1"/>
  <c r="H98" i="20"/>
  <c r="H97" i="20"/>
  <c r="H96" i="20"/>
  <c r="I95" i="20"/>
  <c r="I94" i="20" s="1"/>
  <c r="H89" i="20"/>
  <c r="H88" i="20" s="1"/>
  <c r="I88" i="20"/>
  <c r="H79" i="20"/>
  <c r="H78" i="20"/>
  <c r="H77" i="20"/>
  <c r="H76" i="20"/>
  <c r="H75" i="20"/>
  <c r="H74" i="20"/>
  <c r="I73" i="20"/>
  <c r="H73" i="20" s="1"/>
  <c r="H72" i="20"/>
  <c r="I68" i="20"/>
  <c r="H68" i="20" s="1"/>
  <c r="H67" i="20" s="1"/>
  <c r="I66" i="20"/>
  <c r="H66" i="20" s="1"/>
  <c r="N65" i="20"/>
  <c r="N64" i="20" s="1"/>
  <c r="N63" i="20" s="1"/>
  <c r="N62" i="20" s="1"/>
  <c r="M65" i="20"/>
  <c r="M147" i="20" s="1"/>
  <c r="W61" i="20" s="1"/>
  <c r="W11" i="20" s="1"/>
  <c r="I65" i="20"/>
  <c r="H57" i="20"/>
  <c r="H56" i="20"/>
  <c r="H55" i="20"/>
  <c r="O11" i="20"/>
  <c r="I46" i="20"/>
  <c r="H46" i="20"/>
  <c r="I31" i="20"/>
  <c r="H31" i="20" s="1"/>
  <c r="H30" i="20"/>
  <c r="H29" i="20"/>
  <c r="H28" i="20"/>
  <c r="H27" i="20"/>
  <c r="H26" i="20"/>
  <c r="H25" i="20"/>
  <c r="H24" i="20"/>
  <c r="I23" i="20"/>
  <c r="H21" i="20"/>
  <c r="I18" i="20"/>
  <c r="H18" i="20" s="1"/>
  <c r="I12" i="20"/>
  <c r="H12" i="20" s="1"/>
  <c r="H245" i="22" l="1"/>
  <c r="P61" i="20"/>
  <c r="P11" i="20" s="1"/>
  <c r="V61" i="20"/>
  <c r="V11" i="20" s="1"/>
  <c r="L61" i="20"/>
  <c r="L11" i="20" s="1"/>
  <c r="I178" i="22"/>
  <c r="H13" i="22"/>
  <c r="I159" i="22"/>
  <c r="I239" i="22"/>
  <c r="H48" i="22"/>
  <c r="H65" i="22"/>
  <c r="H103" i="22"/>
  <c r="H91" i="22" s="1"/>
  <c r="O103" i="22"/>
  <c r="I143" i="22"/>
  <c r="L240" i="22"/>
  <c r="L239" i="22" s="1"/>
  <c r="H145" i="22"/>
  <c r="H144" i="22" s="1"/>
  <c r="H116" i="22"/>
  <c r="H113" i="22" s="1"/>
  <c r="L73" i="22"/>
  <c r="L69" i="22" s="1"/>
  <c r="K239" i="22"/>
  <c r="H51" i="22"/>
  <c r="H50" i="22" s="1"/>
  <c r="I50" i="22"/>
  <c r="N13" i="22"/>
  <c r="H19" i="22"/>
  <c r="H17" i="22" s="1"/>
  <c r="L46" i="22"/>
  <c r="L43" i="22" s="1"/>
  <c r="L42" i="22" s="1"/>
  <c r="L41" i="22" s="1"/>
  <c r="I113" i="22"/>
  <c r="I112" i="22" s="1"/>
  <c r="I111" i="22" s="1"/>
  <c r="I78" i="22"/>
  <c r="H233" i="22"/>
  <c r="H240" i="22"/>
  <c r="H239" i="22" s="1"/>
  <c r="L57" i="22"/>
  <c r="L54" i="22" s="1"/>
  <c r="L53" i="22" s="1"/>
  <c r="H15" i="22"/>
  <c r="H14" i="22" s="1"/>
  <c r="H47" i="22"/>
  <c r="I57" i="22"/>
  <c r="I54" i="22" s="1"/>
  <c r="I53" i="22" s="1"/>
  <c r="N61" i="20"/>
  <c r="N11" i="20" s="1"/>
  <c r="Q147" i="20"/>
  <c r="Q105" i="20"/>
  <c r="Q104" i="20" s="1"/>
  <c r="Q61" i="20" s="1"/>
  <c r="Q11" i="20" s="1"/>
  <c r="H130" i="20"/>
  <c r="H118" i="20" s="1"/>
  <c r="H23" i="20"/>
  <c r="H22" i="20" s="1"/>
  <c r="I22" i="20"/>
  <c r="H100" i="20"/>
  <c r="H99" i="20" s="1"/>
  <c r="H115" i="20"/>
  <c r="H114" i="20" s="1"/>
  <c r="H145" i="20"/>
  <c r="I87" i="20"/>
  <c r="I86" i="20" s="1"/>
  <c r="I71" i="20"/>
  <c r="I70" i="20" s="1"/>
  <c r="M64" i="20"/>
  <c r="M63" i="20" s="1"/>
  <c r="M62" i="20" s="1"/>
  <c r="I67" i="20"/>
  <c r="H95" i="20"/>
  <c r="H94" i="20" s="1"/>
  <c r="H53" i="20"/>
  <c r="H65" i="20"/>
  <c r="H64" i="20" s="1"/>
  <c r="H63" i="20" s="1"/>
  <c r="H62" i="20" s="1"/>
  <c r="H71" i="20"/>
  <c r="H70" i="20" s="1"/>
  <c r="H69" i="20" s="1"/>
  <c r="H80" i="22"/>
  <c r="H79" i="22" s="1"/>
  <c r="L233" i="22"/>
  <c r="H69" i="22"/>
  <c r="H180" i="22"/>
  <c r="H179" i="22" s="1"/>
  <c r="H122" i="22"/>
  <c r="H163" i="22"/>
  <c r="H159" i="22" s="1"/>
  <c r="L14" i="22"/>
  <c r="H149" i="22"/>
  <c r="H214" i="22"/>
  <c r="J239" i="22"/>
  <c r="H58" i="22"/>
  <c r="H57" i="22" s="1"/>
  <c r="H54" i="22" s="1"/>
  <c r="I46" i="22"/>
  <c r="I43" i="22" s="1"/>
  <c r="H87" i="20"/>
  <c r="H86" i="20" s="1"/>
  <c r="I93" i="20"/>
  <c r="H147" i="20"/>
  <c r="I113" i="20"/>
  <c r="I131" i="20"/>
  <c r="I64" i="20"/>
  <c r="I63" i="20" s="1"/>
  <c r="H135" i="20" l="1"/>
  <c r="H131" i="20" s="1"/>
  <c r="H53" i="22"/>
  <c r="H46" i="22"/>
  <c r="H43" i="22" s="1"/>
  <c r="H42" i="22" s="1"/>
  <c r="H143" i="22"/>
  <c r="H178" i="22"/>
  <c r="I42" i="22"/>
  <c r="N103" i="22"/>
  <c r="N91" i="22" s="1"/>
  <c r="N78" i="22" s="1"/>
  <c r="O91" i="22"/>
  <c r="O78" i="22" s="1"/>
  <c r="N47" i="22"/>
  <c r="N46" i="22" s="1"/>
  <c r="N43" i="22" s="1"/>
  <c r="N42" i="22" s="1"/>
  <c r="O46" i="22"/>
  <c r="O43" i="22" s="1"/>
  <c r="O42" i="22" s="1"/>
  <c r="O41" i="22" s="1"/>
  <c r="R14" i="22"/>
  <c r="R11" i="22" s="1"/>
  <c r="N15" i="22"/>
  <c r="N14" i="22" s="1"/>
  <c r="M61" i="20"/>
  <c r="M11" i="20" s="1"/>
  <c r="I62" i="20"/>
  <c r="I61" i="20" s="1"/>
  <c r="I11" i="20" s="1"/>
  <c r="H93" i="20"/>
  <c r="H113" i="20"/>
  <c r="H112" i="22"/>
  <c r="H111" i="22" s="1"/>
  <c r="H78" i="22"/>
  <c r="L11" i="22"/>
  <c r="H41" i="22" l="1"/>
  <c r="I41" i="22"/>
  <c r="I11" i="22" s="1"/>
  <c r="H61" i="20"/>
  <c r="H11" i="20" s="1"/>
  <c r="O11" i="22"/>
  <c r="H11" i="22"/>
  <c r="F46" i="20"/>
  <c r="E46" i="20"/>
  <c r="H77" i="29" l="1"/>
  <c r="E91" i="22" l="1"/>
  <c r="L25" i="23" l="1"/>
  <c r="I11" i="29" l="1"/>
  <c r="G44" i="22" l="1"/>
  <c r="G46" i="22"/>
  <c r="G43" i="22" s="1"/>
  <c r="G42" i="22" s="1"/>
  <c r="G14" i="22"/>
  <c r="L44" i="23" l="1"/>
  <c r="M44" i="23" s="1"/>
  <c r="M42" i="23" s="1"/>
  <c r="M41" i="23" s="1"/>
  <c r="E53" i="20" l="1"/>
  <c r="F241" i="22" l="1"/>
  <c r="G247" i="22"/>
  <c r="G246" i="22"/>
  <c r="G244" i="22"/>
  <c r="G243" i="22" s="1"/>
  <c r="G242" i="22"/>
  <c r="G241" i="22" s="1"/>
  <c r="G238" i="22"/>
  <c r="G237" i="22" s="1"/>
  <c r="G233" i="22" s="1"/>
  <c r="G236" i="22"/>
  <c r="F232" i="22"/>
  <c r="F229" i="22"/>
  <c r="F230" i="22"/>
  <c r="F231" i="22"/>
  <c r="F225" i="22"/>
  <c r="F226" i="22"/>
  <c r="F227" i="22"/>
  <c r="F228" i="22"/>
  <c r="F224" i="22"/>
  <c r="F167" i="22"/>
  <c r="F158" i="22"/>
  <c r="F154" i="22"/>
  <c r="G148" i="22"/>
  <c r="G145" i="22" s="1"/>
  <c r="G144" i="22" s="1"/>
  <c r="G143" i="22" s="1"/>
  <c r="F138" i="22"/>
  <c r="G134" i="22"/>
  <c r="F134" i="22"/>
  <c r="G133" i="22"/>
  <c r="F102" i="22"/>
  <c r="F101" i="22"/>
  <c r="G98" i="22"/>
  <c r="G91" i="22" s="1"/>
  <c r="G78" i="22" s="1"/>
  <c r="F98" i="22"/>
  <c r="G75" i="22"/>
  <c r="F72" i="22"/>
  <c r="G68" i="22"/>
  <c r="G65" i="22" s="1"/>
  <c r="F68" i="22"/>
  <c r="F65" i="22" s="1"/>
  <c r="G63" i="22"/>
  <c r="F64" i="22"/>
  <c r="F60" i="22"/>
  <c r="F61" i="22"/>
  <c r="F59" i="22"/>
  <c r="F56" i="22"/>
  <c r="F55" i="22" s="1"/>
  <c r="F20" i="22"/>
  <c r="E20" i="22" s="1"/>
  <c r="G245" i="22" l="1"/>
  <c r="G122" i="22"/>
  <c r="G112" i="22" s="1"/>
  <c r="G111" i="22" s="1"/>
  <c r="E242" i="22"/>
  <c r="G240" i="22"/>
  <c r="G239" i="22" l="1"/>
  <c r="E23" i="20" l="1"/>
  <c r="E22" i="20" s="1"/>
  <c r="M241" i="22"/>
  <c r="M243" i="22"/>
  <c r="F163" i="22"/>
  <c r="F161" i="22"/>
  <c r="F160" i="22" s="1"/>
  <c r="F149" i="22"/>
  <c r="F145" i="22"/>
  <c r="F144" i="22" s="1"/>
  <c r="F141" i="22"/>
  <c r="F140" i="22" s="1"/>
  <c r="F139" i="22" s="1"/>
  <c r="M141" i="22"/>
  <c r="M140" i="22" s="1"/>
  <c r="M139" i="22" s="1"/>
  <c r="F114" i="22"/>
  <c r="F116" i="22"/>
  <c r="F80" i="22"/>
  <c r="F79" i="22" s="1"/>
  <c r="M55" i="22"/>
  <c r="M44" i="22"/>
  <c r="E17" i="22"/>
  <c r="F18" i="20"/>
  <c r="E18" i="20"/>
  <c r="F133" i="20"/>
  <c r="F132" i="20" s="1"/>
  <c r="F115" i="20"/>
  <c r="F114" i="20" s="1"/>
  <c r="F95" i="20"/>
  <c r="F94" i="20" s="1"/>
  <c r="F88" i="20"/>
  <c r="F87" i="20" s="1"/>
  <c r="F86" i="20" s="1"/>
  <c r="G88" i="20"/>
  <c r="F113" i="22" l="1"/>
  <c r="F159" i="22"/>
  <c r="M240" i="22"/>
  <c r="F143" i="22"/>
  <c r="F131" i="20"/>
  <c r="F93" i="20"/>
  <c r="F47" i="22" l="1"/>
  <c r="F19" i="22" l="1"/>
  <c r="F17" i="22" s="1"/>
  <c r="F51" i="22" l="1"/>
  <c r="F50" i="22" s="1"/>
  <c r="M245" i="22" l="1"/>
  <c r="M239" i="22" s="1"/>
  <c r="F245" i="22"/>
  <c r="E245" i="22"/>
  <c r="E243" i="22"/>
  <c r="F240" i="22"/>
  <c r="E241" i="22"/>
  <c r="E240" i="22" s="1"/>
  <c r="M237" i="22"/>
  <c r="M233" i="22" s="1"/>
  <c r="E237" i="22"/>
  <c r="E233" i="22" s="1"/>
  <c r="M214" i="22"/>
  <c r="F222" i="22"/>
  <c r="F214" i="22" s="1"/>
  <c r="E214" i="22"/>
  <c r="F213" i="22"/>
  <c r="M213" i="22"/>
  <c r="F212" i="22"/>
  <c r="M212" i="22"/>
  <c r="F211" i="22"/>
  <c r="M211" i="22"/>
  <c r="F210" i="22"/>
  <c r="M210" i="22"/>
  <c r="F209" i="22"/>
  <c r="M209" i="22"/>
  <c r="F208" i="22"/>
  <c r="M208" i="22"/>
  <c r="F206" i="22"/>
  <c r="F205" i="22"/>
  <c r="F204" i="22"/>
  <c r="M204" i="22"/>
  <c r="F203" i="22"/>
  <c r="F202" i="22"/>
  <c r="M202" i="22"/>
  <c r="F201" i="22"/>
  <c r="F200" i="22"/>
  <c r="M200" i="22"/>
  <c r="F199" i="22"/>
  <c r="F198" i="22"/>
  <c r="F197" i="22"/>
  <c r="F196" i="22"/>
  <c r="F195" i="22"/>
  <c r="F194" i="22"/>
  <c r="F193" i="22"/>
  <c r="F192" i="22"/>
  <c r="F191" i="22"/>
  <c r="F190" i="22"/>
  <c r="F189" i="22"/>
  <c r="F188" i="22"/>
  <c r="F187" i="22"/>
  <c r="F186" i="22"/>
  <c r="F185" i="22"/>
  <c r="F184" i="22"/>
  <c r="M184" i="22"/>
  <c r="F183" i="22"/>
  <c r="M183" i="22"/>
  <c r="M165" i="22"/>
  <c r="M164" i="22"/>
  <c r="E164" i="22"/>
  <c r="E163" i="22" s="1"/>
  <c r="M162" i="22"/>
  <c r="M161" i="22" s="1"/>
  <c r="M160" i="22" s="1"/>
  <c r="E161" i="22"/>
  <c r="E160" i="22" s="1"/>
  <c r="M155" i="22"/>
  <c r="M153" i="22"/>
  <c r="M150" i="22"/>
  <c r="E149" i="22"/>
  <c r="M147" i="22"/>
  <c r="M145" i="22" s="1"/>
  <c r="M144" i="22" s="1"/>
  <c r="E145" i="22"/>
  <c r="E144" i="22" s="1"/>
  <c r="E141" i="22"/>
  <c r="E140" i="22" s="1"/>
  <c r="E139" i="22" s="1"/>
  <c r="E137" i="22"/>
  <c r="M136" i="22"/>
  <c r="F136" i="22"/>
  <c r="F135" i="22"/>
  <c r="M133" i="22"/>
  <c r="E132" i="22"/>
  <c r="M131" i="22"/>
  <c r="E131" i="22"/>
  <c r="M129" i="22"/>
  <c r="E129" i="22"/>
  <c r="E128" i="22"/>
  <c r="E127" i="22"/>
  <c r="E123" i="22"/>
  <c r="M120" i="22"/>
  <c r="M119" i="22"/>
  <c r="M118" i="22"/>
  <c r="E116" i="22"/>
  <c r="M115" i="22"/>
  <c r="M114" i="22" s="1"/>
  <c r="E114" i="22"/>
  <c r="F106" i="22"/>
  <c r="M99" i="22"/>
  <c r="M97" i="22"/>
  <c r="M96" i="22"/>
  <c r="M95" i="22"/>
  <c r="M94" i="22"/>
  <c r="M90" i="22"/>
  <c r="M89" i="22"/>
  <c r="M88" i="22"/>
  <c r="M87" i="22"/>
  <c r="M86" i="22"/>
  <c r="M85" i="22"/>
  <c r="E80" i="22"/>
  <c r="E79" i="22" s="1"/>
  <c r="E78" i="22" s="1"/>
  <c r="M71" i="22"/>
  <c r="M70" i="22" s="1"/>
  <c r="F71" i="22"/>
  <c r="F70" i="22" s="1"/>
  <c r="F69" i="22" s="1"/>
  <c r="E71" i="22"/>
  <c r="E70" i="22" s="1"/>
  <c r="E67" i="22"/>
  <c r="E65" i="22" s="1"/>
  <c r="M65" i="22"/>
  <c r="M64" i="22"/>
  <c r="E61" i="22"/>
  <c r="E57" i="22" s="1"/>
  <c r="E55" i="22"/>
  <c r="F48" i="22"/>
  <c r="F46" i="22" s="1"/>
  <c r="E46" i="22"/>
  <c r="E44" i="22"/>
  <c r="M14" i="22"/>
  <c r="E139" i="20"/>
  <c r="E138" i="20"/>
  <c r="E136" i="20"/>
  <c r="E135" i="20" s="1"/>
  <c r="E134" i="20"/>
  <c r="E133" i="20" s="1"/>
  <c r="E132" i="20" s="1"/>
  <c r="E130" i="20"/>
  <c r="F128" i="20"/>
  <c r="E127" i="20"/>
  <c r="E126" i="20"/>
  <c r="E125" i="20"/>
  <c r="E119" i="20"/>
  <c r="E115" i="20"/>
  <c r="E114" i="20" s="1"/>
  <c r="E95" i="20"/>
  <c r="E94" i="20" s="1"/>
  <c r="E88" i="20"/>
  <c r="F71" i="20"/>
  <c r="F70" i="20" s="1"/>
  <c r="F69" i="20" s="1"/>
  <c r="E71" i="20"/>
  <c r="E70" i="20" s="1"/>
  <c r="E67" i="20"/>
  <c r="E64" i="20"/>
  <c r="E63" i="20" s="1"/>
  <c r="F118" i="20" l="1"/>
  <c r="F113" i="20" s="1"/>
  <c r="F239" i="22"/>
  <c r="F91" i="22"/>
  <c r="F78" i="22" s="1"/>
  <c r="M91" i="22"/>
  <c r="E93" i="20"/>
  <c r="E239" i="22"/>
  <c r="E43" i="22"/>
  <c r="E42" i="22" s="1"/>
  <c r="M46" i="22"/>
  <c r="M43" i="22" s="1"/>
  <c r="M42" i="22" s="1"/>
  <c r="G62" i="22"/>
  <c r="G57" i="22" s="1"/>
  <c r="G54" i="22" s="1"/>
  <c r="G53" i="22" s="1"/>
  <c r="M69" i="22"/>
  <c r="M116" i="22"/>
  <c r="M113" i="22" s="1"/>
  <c r="F43" i="22"/>
  <c r="F42" i="22" s="1"/>
  <c r="M57" i="22"/>
  <c r="M54" i="22" s="1"/>
  <c r="M53" i="22" s="1"/>
  <c r="G74" i="22"/>
  <c r="M80" i="22"/>
  <c r="M79" i="22" s="1"/>
  <c r="M122" i="22"/>
  <c r="F58" i="22"/>
  <c r="F57" i="22" s="1"/>
  <c r="F54" i="22" s="1"/>
  <c r="F53" i="22" s="1"/>
  <c r="M149" i="22"/>
  <c r="M143" i="22" s="1"/>
  <c r="M163" i="22"/>
  <c r="M159" i="22" s="1"/>
  <c r="E54" i="22"/>
  <c r="E53" i="22" s="1"/>
  <c r="E62" i="20"/>
  <c r="E118" i="20"/>
  <c r="E113" i="20" s="1"/>
  <c r="E69" i="22"/>
  <c r="F122" i="22"/>
  <c r="F112" i="22" s="1"/>
  <c r="F111" i="22" s="1"/>
  <c r="E131" i="20"/>
  <c r="E159" i="22"/>
  <c r="M180" i="22"/>
  <c r="M179" i="22" s="1"/>
  <c r="M178" i="22" s="1"/>
  <c r="E122" i="22"/>
  <c r="E143" i="22"/>
  <c r="E113" i="22"/>
  <c r="F67" i="20"/>
  <c r="F64" i="20"/>
  <c r="F63" i="20" s="1"/>
  <c r="E87" i="20"/>
  <c r="E86" i="20" s="1"/>
  <c r="E61" i="20" l="1"/>
  <c r="E11" i="20" s="1"/>
  <c r="G73" i="22"/>
  <c r="G69" i="22" s="1"/>
  <c r="M112" i="22"/>
  <c r="M111" i="22" s="1"/>
  <c r="F62" i="20"/>
  <c r="M78" i="22"/>
  <c r="M41" i="22" s="1"/>
  <c r="E207" i="22"/>
  <c r="E180" i="22" s="1"/>
  <c r="E179" i="22" s="1"/>
  <c r="E178" i="22" s="1"/>
  <c r="E112" i="22"/>
  <c r="E111" i="22" s="1"/>
  <c r="E41" i="22" l="1"/>
  <c r="G41" i="22"/>
  <c r="G11" i="22" s="1"/>
  <c r="F61" i="20"/>
  <c r="F11" i="20" s="1"/>
  <c r="M11" i="22"/>
  <c r="E11" i="22"/>
  <c r="K94" i="29" l="1"/>
  <c r="K88" i="29"/>
  <c r="I87" i="29"/>
  <c r="I86" i="29"/>
  <c r="I85" i="29"/>
  <c r="I84" i="29"/>
  <c r="I83" i="29"/>
  <c r="I82" i="29"/>
  <c r="I81" i="29"/>
  <c r="J80" i="29"/>
  <c r="I80" i="29" s="1"/>
  <c r="H80" i="29"/>
  <c r="H40" i="29" s="1"/>
  <c r="K78" i="29"/>
  <c r="K40" i="29" l="1"/>
  <c r="I40" i="29"/>
  <c r="L13" i="23"/>
  <c r="L12" i="23"/>
  <c r="K16" i="29" l="1"/>
  <c r="M16" i="29"/>
  <c r="J49" i="29"/>
  <c r="J48" i="29"/>
  <c r="J47" i="29"/>
  <c r="J46" i="29"/>
  <c r="J45" i="29"/>
  <c r="J44" i="29"/>
  <c r="J43" i="29"/>
  <c r="I32" i="29"/>
  <c r="L16" i="29"/>
  <c r="I14" i="29"/>
  <c r="I13" i="29"/>
  <c r="I10" i="29"/>
  <c r="I9" i="29"/>
  <c r="J40" i="29" l="1"/>
  <c r="I7" i="29"/>
  <c r="J7" i="29"/>
  <c r="L7" i="29"/>
  <c r="M7" i="29"/>
  <c r="K7" i="29"/>
  <c r="H7" i="29"/>
  <c r="L75" i="23"/>
  <c r="M75" i="23" s="1"/>
  <c r="L74" i="23"/>
  <c r="M74" i="23" s="1"/>
  <c r="M71" i="23" l="1"/>
  <c r="M64" i="23" s="1"/>
  <c r="L62" i="23"/>
  <c r="M62" i="23" s="1"/>
  <c r="M59" i="23" s="1"/>
  <c r="M52" i="23" s="1"/>
  <c r="L112" i="23"/>
  <c r="L104" i="23"/>
  <c r="L101" i="23"/>
  <c r="L91" i="23"/>
  <c r="L87" i="23"/>
  <c r="L79" i="23"/>
  <c r="L71" i="23"/>
  <c r="L36" i="23"/>
  <c r="L28" i="23"/>
  <c r="L26" i="23"/>
  <c r="L22" i="23"/>
  <c r="L21" i="23" s="1"/>
  <c r="L20" i="23" s="1"/>
  <c r="L14" i="23"/>
  <c r="M19" i="23" l="1"/>
  <c r="M9" i="23" s="1"/>
  <c r="L47" i="23"/>
  <c r="L90" i="23"/>
  <c r="L42" i="23"/>
  <c r="L53" i="23"/>
  <c r="L24" i="23"/>
  <c r="L23" i="23" s="1"/>
  <c r="L103" i="23"/>
  <c r="L78" i="23"/>
  <c r="L65" i="23"/>
  <c r="L64" i="23" s="1"/>
  <c r="L59" i="23"/>
  <c r="L34" i="23"/>
  <c r="L33" i="23" s="1"/>
  <c r="L41" i="23" l="1"/>
  <c r="L52" i="23"/>
  <c r="L19" i="23" l="1"/>
  <c r="L11" i="23"/>
  <c r="L10" i="23" s="1"/>
  <c r="L9" i="23" l="1"/>
  <c r="J17" i="23" l="1"/>
  <c r="J28" i="23"/>
  <c r="J112" i="23"/>
  <c r="J104" i="23"/>
  <c r="J103" i="23" s="1"/>
  <c r="J101" i="23"/>
  <c r="J91" i="23"/>
  <c r="J87" i="23"/>
  <c r="J79" i="23"/>
  <c r="J71" i="23"/>
  <c r="J65" i="23"/>
  <c r="J59" i="23"/>
  <c r="J53" i="23"/>
  <c r="J52" i="23" s="1"/>
  <c r="J47" i="23"/>
  <c r="J42" i="23"/>
  <c r="J34" i="23"/>
  <c r="J33" i="23" s="1"/>
  <c r="J24" i="23"/>
  <c r="J23" i="23" s="1"/>
  <c r="J21" i="23"/>
  <c r="J20" i="23" s="1"/>
  <c r="J13" i="23"/>
  <c r="B11" i="12"/>
  <c r="C11" i="12"/>
  <c r="D11" i="12" s="1"/>
  <c r="E11" i="12" s="1"/>
  <c r="F11" i="12" s="1"/>
  <c r="G11" i="12" s="1"/>
  <c r="H11" i="12" s="1"/>
  <c r="I11" i="12" s="1"/>
  <c r="J11" i="12" s="1"/>
  <c r="K11" i="12" s="1"/>
  <c r="L11" i="12" s="1"/>
  <c r="M11" i="12" s="1"/>
  <c r="N11" i="12" s="1"/>
  <c r="O11" i="12" s="1"/>
  <c r="P11" i="12" s="1"/>
  <c r="Q11" i="12" s="1"/>
  <c r="B14" i="11"/>
  <c r="C14" i="11" s="1"/>
  <c r="D14" i="11" s="1"/>
  <c r="E14" i="11" s="1"/>
  <c r="F14" i="11" s="1"/>
  <c r="G14" i="11" s="1"/>
  <c r="H14" i="11" s="1"/>
  <c r="I14" i="11" s="1"/>
  <c r="J14" i="11" s="1"/>
  <c r="K14" i="11" s="1"/>
  <c r="L14" i="11" s="1"/>
  <c r="M14" i="11" s="1"/>
  <c r="N14" i="11" s="1"/>
  <c r="O14" i="11" s="1"/>
  <c r="P14" i="11" s="1"/>
  <c r="Q14" i="11" s="1"/>
  <c r="R14" i="11" s="1"/>
  <c r="S14" i="11" s="1"/>
  <c r="T14" i="11" s="1"/>
  <c r="U14" i="11" s="1"/>
  <c r="V14" i="11" s="1"/>
  <c r="W14" i="11" s="1"/>
  <c r="B14" i="10"/>
  <c r="C14" i="10" s="1"/>
  <c r="D14" i="10" s="1"/>
  <c r="E14" i="10" s="1"/>
  <c r="F14" i="10" s="1"/>
  <c r="G14" i="10" s="1"/>
  <c r="H14" i="10" s="1"/>
  <c r="I14" i="10" s="1"/>
  <c r="J14" i="10" s="1"/>
  <c r="K14" i="10" s="1"/>
  <c r="L14" i="10" s="1"/>
  <c r="M14" i="10" s="1"/>
  <c r="N14" i="10" s="1"/>
  <c r="O14" i="10" s="1"/>
  <c r="P14" i="10" s="1"/>
  <c r="Q14" i="10" s="1"/>
  <c r="R14" i="10" s="1"/>
  <c r="S14" i="10" s="1"/>
  <c r="T14" i="10" s="1"/>
  <c r="U14" i="10" s="1"/>
  <c r="V14" i="10" s="1"/>
  <c r="W14" i="10" s="1"/>
  <c r="X14" i="10" s="1"/>
  <c r="Y14" i="10" s="1"/>
  <c r="AK14" i="9"/>
  <c r="AL14" i="9" s="1"/>
  <c r="AM14" i="9" s="1"/>
  <c r="AN14" i="9" s="1"/>
  <c r="AO14" i="9" s="1"/>
  <c r="AP14" i="9" s="1"/>
  <c r="AQ14" i="9" s="1"/>
  <c r="AR14" i="9" s="1"/>
  <c r="B14" i="9"/>
  <c r="C14" i="9" s="1"/>
  <c r="D14" i="9" s="1"/>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4" i="9" s="1"/>
  <c r="AI14" i="9" s="1"/>
  <c r="AK11" i="7"/>
  <c r="AL11" i="7" s="1"/>
  <c r="AM11" i="7" s="1"/>
  <c r="AN11" i="7" s="1"/>
  <c r="AO11" i="7" s="1"/>
  <c r="AP11" i="7" s="1"/>
  <c r="AQ11" i="7" s="1"/>
  <c r="AR11" i="7" s="1"/>
  <c r="AS11" i="7" s="1"/>
  <c r="AT11" i="7" s="1"/>
  <c r="B11" i="7"/>
  <c r="C11" i="7" s="1"/>
  <c r="D11" i="7" s="1"/>
  <c r="E11" i="7" s="1"/>
  <c r="F11" i="7" s="1"/>
  <c r="G11" i="7" s="1"/>
  <c r="H11" i="7" s="1"/>
  <c r="I11" i="7" s="1"/>
  <c r="J11" i="7" s="1"/>
  <c r="K11" i="7" s="1"/>
  <c r="L11" i="7" s="1"/>
  <c r="M11" i="7" s="1"/>
  <c r="N11" i="7" s="1"/>
  <c r="O11" i="7" s="1"/>
  <c r="P11" i="7" s="1"/>
  <c r="Q11" i="7" s="1"/>
  <c r="R11" i="7" s="1"/>
  <c r="J11" i="23" l="1"/>
  <c r="J10" i="23" s="1"/>
  <c r="F207" i="22"/>
  <c r="F180" i="22" s="1"/>
  <c r="F179" i="22" s="1"/>
  <c r="F178" i="22" s="1"/>
  <c r="J41" i="23"/>
  <c r="J64" i="23"/>
  <c r="J78" i="23"/>
  <c r="J90" i="23"/>
  <c r="F41" i="22" l="1"/>
  <c r="F11" i="22" s="1"/>
  <c r="J19" i="23"/>
  <c r="J9" i="23" s="1"/>
  <c r="N73" i="22"/>
  <c r="N69" i="22" s="1"/>
  <c r="N41" i="22" l="1"/>
  <c r="N11" i="22" s="1"/>
</calcChain>
</file>

<file path=xl/comments1.xml><?xml version="1.0" encoding="utf-8"?>
<comments xmlns="http://schemas.openxmlformats.org/spreadsheetml/2006/main">
  <authors>
    <author>admin</author>
    <author>ICT</author>
    <author>Administrator</author>
    <author>ismail - [2010]</author>
  </authors>
  <commentList>
    <comment ref="N13" authorId="0">
      <text>
        <r>
          <rPr>
            <sz val="14"/>
            <color indexed="81"/>
            <rFont val="Tahoma"/>
            <family val="2"/>
          </rPr>
          <t>Năm 2022: 1.000
Năm 2023: 383</t>
        </r>
      </text>
    </comment>
    <comment ref="N14" authorId="0">
      <text>
        <r>
          <rPr>
            <sz val="14"/>
            <color indexed="81"/>
            <rFont val="Tahoma"/>
            <family val="2"/>
          </rPr>
          <t>Năm 2022: 180
Năm 2023: 20</t>
        </r>
      </text>
    </comment>
    <comment ref="N15" authorId="0">
      <text>
        <r>
          <rPr>
            <sz val="14"/>
            <color indexed="81"/>
            <rFont val="Tahoma"/>
            <family val="2"/>
          </rPr>
          <t>Năm 2022: 250
Năm 2023: 50</t>
        </r>
      </text>
    </comment>
    <comment ref="N16" authorId="0">
      <text>
        <r>
          <rPr>
            <sz val="14"/>
            <color indexed="81"/>
            <rFont val="Tahoma"/>
            <family val="2"/>
          </rPr>
          <t>Năm 2022: 1.500
Năm 2023: 565</t>
        </r>
      </text>
    </comment>
    <comment ref="N17" authorId="0">
      <text>
        <r>
          <rPr>
            <sz val="14"/>
            <color indexed="81"/>
            <rFont val="Tahoma"/>
            <family val="2"/>
          </rPr>
          <t>Năm 2022: 1.000</t>
        </r>
      </text>
    </comment>
    <comment ref="N18" authorId="0">
      <text>
        <r>
          <rPr>
            <sz val="14"/>
            <color indexed="81"/>
            <rFont val="Tahoma"/>
            <family val="2"/>
          </rPr>
          <t>Năm 2022: 1.000
Năm 2023: 51</t>
        </r>
      </text>
    </comment>
    <comment ref="N19" authorId="0">
      <text>
        <r>
          <rPr>
            <sz val="14"/>
            <color indexed="81"/>
            <rFont val="Tahoma"/>
            <family val="2"/>
          </rPr>
          <t>Năm 2024: 1.006</t>
        </r>
      </text>
    </comment>
    <comment ref="N23" authorId="0">
      <text>
        <r>
          <rPr>
            <sz val="14"/>
            <color indexed="81"/>
            <rFont val="Tahoma"/>
            <family val="2"/>
          </rPr>
          <t>Năm 2021: 750 (ĐA 3333)</t>
        </r>
        <r>
          <rPr>
            <sz val="9"/>
            <color indexed="81"/>
            <rFont val="Tahoma"/>
            <family val="2"/>
          </rPr>
          <t xml:space="preserve">
</t>
        </r>
      </text>
    </comment>
    <comment ref="N24" authorId="0">
      <text>
        <r>
          <rPr>
            <b/>
            <sz val="14"/>
            <color indexed="81"/>
            <rFont val="Tahoma"/>
            <family val="2"/>
          </rPr>
          <t>Năm 2021: 870 (ĐA 3333)</t>
        </r>
        <r>
          <rPr>
            <b/>
            <sz val="9"/>
            <color indexed="81"/>
            <rFont val="Tahoma"/>
            <family val="2"/>
          </rPr>
          <t xml:space="preserve">
</t>
        </r>
      </text>
    </comment>
    <comment ref="N25" authorId="0">
      <text>
        <r>
          <rPr>
            <b/>
            <sz val="14"/>
            <color indexed="81"/>
            <rFont val="Tahoma"/>
            <family val="2"/>
          </rPr>
          <t>Năm 2021: 32 (ĐA 3333)</t>
        </r>
        <r>
          <rPr>
            <b/>
            <sz val="9"/>
            <color indexed="81"/>
            <rFont val="Tahoma"/>
            <family val="2"/>
          </rPr>
          <t xml:space="preserve">
</t>
        </r>
      </text>
    </comment>
    <comment ref="N26" authorId="0">
      <text>
        <r>
          <rPr>
            <b/>
            <sz val="14"/>
            <color indexed="81"/>
            <rFont val="Tahoma"/>
            <family val="2"/>
          </rPr>
          <t>Năm 2021: 770 (ĐA 3333)</t>
        </r>
        <r>
          <rPr>
            <b/>
            <sz val="9"/>
            <color indexed="81"/>
            <rFont val="Tahoma"/>
            <family val="2"/>
          </rPr>
          <t xml:space="preserve">
</t>
        </r>
      </text>
    </comment>
    <comment ref="N27" authorId="0">
      <text>
        <r>
          <rPr>
            <sz val="14"/>
            <color indexed="81"/>
            <rFont val="Tahoma"/>
            <family val="2"/>
          </rPr>
          <t xml:space="preserve">Năm 2021: 570 (ĐA 3333)
</t>
        </r>
        <r>
          <rPr>
            <sz val="9"/>
            <color indexed="81"/>
            <rFont val="Tahoma"/>
            <family val="2"/>
          </rPr>
          <t xml:space="preserve">
</t>
        </r>
      </text>
    </comment>
    <comment ref="N28" authorId="0">
      <text>
        <r>
          <rPr>
            <sz val="14"/>
            <color indexed="81"/>
            <rFont val="Tahoma"/>
            <family val="2"/>
          </rPr>
          <t>Năm 2021: 1.517</t>
        </r>
      </text>
    </comment>
    <comment ref="N29" authorId="0">
      <text>
        <r>
          <rPr>
            <sz val="14"/>
            <color indexed="81"/>
            <rFont val="Tahoma"/>
            <family val="2"/>
          </rPr>
          <t>Năm 2021: 581</t>
        </r>
      </text>
    </comment>
    <comment ref="N30" authorId="0">
      <text>
        <r>
          <rPr>
            <b/>
            <sz val="14"/>
            <color indexed="81"/>
            <rFont val="Tahoma"/>
            <family val="2"/>
          </rPr>
          <t>Năm 2021: 2.203</t>
        </r>
        <r>
          <rPr>
            <sz val="9"/>
            <color indexed="81"/>
            <rFont val="Tahoma"/>
            <family val="2"/>
          </rPr>
          <t xml:space="preserve">
</t>
        </r>
      </text>
    </comment>
    <comment ref="N31" authorId="0">
      <text>
        <r>
          <rPr>
            <sz val="14"/>
            <color indexed="81"/>
            <rFont val="Tahoma"/>
            <family val="2"/>
          </rPr>
          <t>Năm 2021: 2.090</t>
        </r>
      </text>
    </comment>
    <comment ref="N32" authorId="0">
      <text>
        <r>
          <rPr>
            <sz val="14"/>
            <color indexed="81"/>
            <rFont val="Tahoma"/>
            <family val="2"/>
          </rPr>
          <t>Năm 2021: 2.354</t>
        </r>
      </text>
    </comment>
    <comment ref="N33" authorId="0">
      <text>
        <r>
          <rPr>
            <sz val="14"/>
            <color indexed="81"/>
            <rFont val="Tahoma"/>
            <family val="2"/>
          </rPr>
          <t>Năm 2021: 1.527</t>
        </r>
        <r>
          <rPr>
            <sz val="9"/>
            <color indexed="81"/>
            <rFont val="Tahoma"/>
            <family val="2"/>
          </rPr>
          <t xml:space="preserve">
</t>
        </r>
      </text>
    </comment>
    <comment ref="N34" authorId="0">
      <text>
        <r>
          <rPr>
            <sz val="14"/>
            <color indexed="81"/>
            <rFont val="Tahoma"/>
            <family val="2"/>
          </rPr>
          <t>Năm 2021: 491</t>
        </r>
      </text>
    </comment>
    <comment ref="N36" authorId="0">
      <text>
        <r>
          <rPr>
            <sz val="14"/>
            <color indexed="81"/>
            <rFont val="Tahoma"/>
            <family val="2"/>
          </rPr>
          <t>Năm 2021: 722</t>
        </r>
      </text>
    </comment>
    <comment ref="N37" authorId="0">
      <text>
        <r>
          <rPr>
            <sz val="14"/>
            <color indexed="81"/>
            <rFont val="Tahoma"/>
            <family val="2"/>
          </rPr>
          <t>Năm 2021: 1.026</t>
        </r>
      </text>
    </comment>
    <comment ref="N38" authorId="0">
      <text>
        <r>
          <rPr>
            <sz val="14"/>
            <color indexed="81"/>
            <rFont val="Tahoma"/>
            <family val="2"/>
          </rPr>
          <t>Năm 2021: 2.316</t>
        </r>
      </text>
    </comment>
    <comment ref="N39" authorId="0">
      <text>
        <r>
          <rPr>
            <sz val="14"/>
            <color indexed="81"/>
            <rFont val="Tahoma"/>
            <family val="2"/>
          </rPr>
          <t>Năm 2021: 363</t>
        </r>
      </text>
    </comment>
    <comment ref="N40" authorId="0">
      <text>
        <r>
          <rPr>
            <sz val="14"/>
            <color indexed="81"/>
            <rFont val="Tahoma"/>
            <family val="2"/>
          </rPr>
          <t>Năm 2021: 1.991
Năm 2022: 1.735
Năm 2023: 310</t>
        </r>
      </text>
    </comment>
    <comment ref="N41" authorId="0">
      <text>
        <r>
          <rPr>
            <sz val="14"/>
            <color indexed="81"/>
            <rFont val="Tahoma"/>
            <family val="2"/>
          </rPr>
          <t>Năm 2021: 656</t>
        </r>
      </text>
    </comment>
    <comment ref="N42" authorId="0">
      <text>
        <r>
          <rPr>
            <sz val="14"/>
            <color indexed="81"/>
            <rFont val="Tahoma"/>
            <family val="2"/>
          </rPr>
          <t>Năm 2021: 1.131
Năm 2022: 346</t>
        </r>
      </text>
    </comment>
    <comment ref="N43" authorId="0">
      <text>
        <r>
          <rPr>
            <sz val="14"/>
            <color indexed="81"/>
            <rFont val="Tahoma"/>
            <family val="2"/>
          </rPr>
          <t>Năm 2021: 1.873
Năm 2022: 1.799
Năm 2023: 73</t>
        </r>
      </text>
    </comment>
    <comment ref="N44" authorId="0">
      <text>
        <r>
          <rPr>
            <sz val="14"/>
            <color indexed="81"/>
            <rFont val="Tahoma"/>
            <family val="2"/>
          </rPr>
          <t>Năm 2021: 300
Năm 2022: 1.954
Năm 2023: 927</t>
        </r>
        <r>
          <rPr>
            <sz val="9"/>
            <color indexed="81"/>
            <rFont val="Tahoma"/>
            <family val="2"/>
          </rPr>
          <t xml:space="preserve">
</t>
        </r>
      </text>
    </comment>
    <comment ref="N45" authorId="0">
      <text>
        <r>
          <rPr>
            <sz val="14"/>
            <color indexed="81"/>
            <rFont val="Tahoma"/>
            <family val="2"/>
          </rPr>
          <t>Năm 2021: 1.800
Năm 2022: 158
Năm 2023: 21</t>
        </r>
      </text>
    </comment>
    <comment ref="N46" authorId="0">
      <text>
        <r>
          <rPr>
            <sz val="14"/>
            <color indexed="81"/>
            <rFont val="Tahoma"/>
            <family val="2"/>
          </rPr>
          <t xml:space="preserve">Năm 2022: 2.500
Năm 2023: 6.668
Năm 2024: 6.532 </t>
        </r>
      </text>
    </comment>
    <comment ref="N47" authorId="0">
      <text>
        <r>
          <rPr>
            <sz val="14"/>
            <color indexed="81"/>
            <rFont val="Tahoma"/>
            <family val="2"/>
          </rPr>
          <t>Năm 2022: 500
Năm 2023: 2.500
Năm 2024: 1.416</t>
        </r>
        <r>
          <rPr>
            <sz val="9"/>
            <color indexed="81"/>
            <rFont val="Tahoma"/>
            <family val="2"/>
          </rPr>
          <t xml:space="preserve">
</t>
        </r>
      </text>
    </comment>
    <comment ref="N48" authorId="0">
      <text>
        <r>
          <rPr>
            <sz val="14"/>
            <color indexed="81"/>
            <rFont val="Tahoma"/>
            <family val="2"/>
          </rPr>
          <t>Năm 2024: 2997</t>
        </r>
      </text>
    </comment>
    <comment ref="N50" authorId="0">
      <text>
        <r>
          <rPr>
            <sz val="14"/>
            <color indexed="81"/>
            <rFont val="Tahoma"/>
            <family val="2"/>
          </rPr>
          <t xml:space="preserve">Năm 2022: 2.000
Năm 2023: 8.000
Năm 2024: 11.046
</t>
        </r>
      </text>
    </comment>
    <comment ref="N51" authorId="0">
      <text>
        <r>
          <rPr>
            <sz val="14"/>
            <color indexed="81"/>
            <rFont val="Tahoma"/>
            <family val="2"/>
          </rPr>
          <t>Năm 2022: 5.208
Năm 2023: 5.013 
Năm 2024: 3.661</t>
        </r>
        <r>
          <rPr>
            <sz val="9"/>
            <color indexed="81"/>
            <rFont val="Tahoma"/>
            <family val="2"/>
          </rPr>
          <t xml:space="preserve">
</t>
        </r>
      </text>
    </comment>
    <comment ref="H52" authorId="1">
      <text>
        <r>
          <rPr>
            <b/>
            <sz val="9"/>
            <color indexed="81"/>
            <rFont val="Tahoma"/>
            <family val="2"/>
          </rPr>
          <t>ICT:</t>
        </r>
        <r>
          <rPr>
            <sz val="9"/>
            <color indexed="81"/>
            <rFont val="Tahoma"/>
            <family val="2"/>
          </rPr>
          <t xml:space="preserve">
Cập nhật điều chỉnh 6 tháng</t>
        </r>
      </text>
    </comment>
    <comment ref="N52" authorId="0">
      <text>
        <r>
          <rPr>
            <sz val="14"/>
            <color indexed="81"/>
            <rFont val="Tahoma"/>
            <family val="2"/>
          </rPr>
          <t>Năm 2024: 2.466</t>
        </r>
      </text>
    </comment>
    <comment ref="N56" authorId="0">
      <text>
        <r>
          <rPr>
            <sz val="14"/>
            <color indexed="81"/>
            <rFont val="Tahoma"/>
            <family val="2"/>
          </rPr>
          <t>Năm 2024: 1.658</t>
        </r>
      </text>
    </comment>
    <comment ref="N61" authorId="2">
      <text>
        <r>
          <rPr>
            <b/>
            <sz val="9"/>
            <color indexed="81"/>
            <rFont val="Tahoma"/>
            <family val="2"/>
          </rPr>
          <t>Năm 2021: 1.763</t>
        </r>
      </text>
    </comment>
    <comment ref="N62" authorId="2">
      <text>
        <r>
          <rPr>
            <b/>
            <sz val="9"/>
            <color indexed="81"/>
            <rFont val="Tahoma"/>
            <family val="2"/>
          </rPr>
          <t>Năm 2021: 1.700</t>
        </r>
      </text>
    </comment>
    <comment ref="N63" authorId="2">
      <text>
        <r>
          <rPr>
            <b/>
            <sz val="9"/>
            <color indexed="81"/>
            <rFont val="Tahoma"/>
            <family val="2"/>
          </rPr>
          <t>Năm 2021: 6952
Năm 2022: 1489</t>
        </r>
      </text>
    </comment>
    <comment ref="N64" authorId="2">
      <text>
        <r>
          <rPr>
            <b/>
            <sz val="9"/>
            <color indexed="81"/>
            <rFont val="Tahoma"/>
            <family val="2"/>
          </rPr>
          <t>Năm 2021: 4.970
Năm 2022: 48</t>
        </r>
      </text>
    </comment>
    <comment ref="N65" authorId="2">
      <text>
        <r>
          <rPr>
            <b/>
            <sz val="9"/>
            <color indexed="81"/>
            <rFont val="Tahoma"/>
            <family val="2"/>
          </rPr>
          <t>Năm 2021: 1.800
Năm 2022: 180</t>
        </r>
      </text>
    </comment>
    <comment ref="N66" authorId="2">
      <text>
        <r>
          <rPr>
            <b/>
            <sz val="9"/>
            <color indexed="81"/>
            <rFont val="Tahoma"/>
            <family val="2"/>
          </rPr>
          <t>Năm 2021: 3.000
Năm 2022: 1.070</t>
        </r>
      </text>
    </comment>
    <comment ref="N67" authorId="2">
      <text>
        <r>
          <rPr>
            <b/>
            <sz val="9"/>
            <color indexed="81"/>
            <rFont val="Tahoma"/>
            <family val="2"/>
          </rPr>
          <t>Năm 2921: 1.280</t>
        </r>
      </text>
    </comment>
    <comment ref="N68" authorId="2">
      <text>
        <r>
          <rPr>
            <b/>
            <sz val="9"/>
            <color indexed="81"/>
            <rFont val="Tahoma"/>
            <family val="2"/>
          </rPr>
          <t>Năm 2021: 2.200</t>
        </r>
      </text>
    </comment>
    <comment ref="N69" authorId="2">
      <text>
        <r>
          <rPr>
            <b/>
            <sz val="9"/>
            <color indexed="81"/>
            <rFont val="Tahoma"/>
            <family val="2"/>
          </rPr>
          <t>Năm 2021: 450</t>
        </r>
      </text>
    </comment>
    <comment ref="N70" authorId="2">
      <text>
        <r>
          <rPr>
            <b/>
            <sz val="9"/>
            <color indexed="81"/>
            <rFont val="Tahoma"/>
            <family val="2"/>
          </rPr>
          <t>Năm 2021: 1.200</t>
        </r>
      </text>
    </comment>
    <comment ref="N71" authorId="2">
      <text>
        <r>
          <rPr>
            <b/>
            <sz val="9"/>
            <color indexed="81"/>
            <rFont val="Tahoma"/>
            <family val="2"/>
          </rPr>
          <t>Năm 2021: 3.030
Năm 2022: 1480</t>
        </r>
      </text>
    </comment>
    <comment ref="N72" authorId="2">
      <text>
        <r>
          <rPr>
            <b/>
            <sz val="9"/>
            <color indexed="81"/>
            <rFont val="Tahoma"/>
            <family val="2"/>
          </rPr>
          <t>Năm 2021: 1.869</t>
        </r>
      </text>
    </comment>
    <comment ref="N73" authorId="2">
      <text>
        <r>
          <rPr>
            <b/>
            <sz val="9"/>
            <color indexed="81"/>
            <rFont val="Tahoma"/>
            <family val="2"/>
          </rPr>
          <t>Năm 2021: 4.000
Năm 2022: 2.078</t>
        </r>
      </text>
    </comment>
    <comment ref="N74" authorId="2">
      <text>
        <r>
          <rPr>
            <b/>
            <sz val="9"/>
            <color indexed="81"/>
            <rFont val="Tahoma"/>
            <family val="2"/>
          </rPr>
          <t>Năm 2021: 3.273</t>
        </r>
      </text>
    </comment>
    <comment ref="N75" authorId="2">
      <text>
        <r>
          <rPr>
            <b/>
            <sz val="9"/>
            <color indexed="81"/>
            <rFont val="Tahoma"/>
            <family val="2"/>
          </rPr>
          <t>Năm 2021: 3.000
Năm 2022: 340</t>
        </r>
      </text>
    </comment>
    <comment ref="N76" authorId="2">
      <text>
        <r>
          <rPr>
            <b/>
            <sz val="9"/>
            <color indexed="81"/>
            <rFont val="Tahoma"/>
            <family val="2"/>
          </rPr>
          <t>Năm 2021: 698</t>
        </r>
      </text>
    </comment>
    <comment ref="N77" authorId="2">
      <text>
        <r>
          <rPr>
            <b/>
            <sz val="9"/>
            <color indexed="81"/>
            <rFont val="Tahoma"/>
            <family val="2"/>
          </rPr>
          <t xml:space="preserve">Năm 2021: 1.948
Năm 2022: 90
</t>
        </r>
      </text>
    </comment>
    <comment ref="N78" authorId="2">
      <text>
        <r>
          <rPr>
            <b/>
            <sz val="9"/>
            <color indexed="81"/>
            <rFont val="Tahoma"/>
            <family val="2"/>
          </rPr>
          <t>Năm 2021: 2.200</t>
        </r>
      </text>
    </comment>
    <comment ref="N79" authorId="2">
      <text>
        <r>
          <rPr>
            <b/>
            <sz val="9"/>
            <color indexed="81"/>
            <rFont val="Tahoma"/>
            <family val="2"/>
          </rPr>
          <t>Năm 2021: 1.000</t>
        </r>
      </text>
    </comment>
    <comment ref="N81" authorId="2">
      <text>
        <r>
          <rPr>
            <b/>
            <sz val="9"/>
            <color indexed="81"/>
            <rFont val="Tahoma"/>
            <family val="2"/>
          </rPr>
          <t>Năm 2021: 1.500
Năm 2022: 551</t>
        </r>
      </text>
    </comment>
    <comment ref="N82" authorId="2">
      <text>
        <r>
          <rPr>
            <b/>
            <sz val="9"/>
            <color indexed="81"/>
            <rFont val="Tahoma"/>
            <family val="2"/>
          </rPr>
          <t>Năm 2021: 1.700
Năm 2022: 249</t>
        </r>
      </text>
    </comment>
    <comment ref="N83" authorId="2">
      <text>
        <r>
          <rPr>
            <b/>
            <sz val="9"/>
            <color indexed="81"/>
            <rFont val="Tahoma"/>
            <family val="2"/>
          </rPr>
          <t xml:space="preserve">Năm 2021: 3.998
Năm 2022: 3.000
</t>
        </r>
      </text>
    </comment>
    <comment ref="N84" authorId="2">
      <text>
        <r>
          <rPr>
            <b/>
            <sz val="9"/>
            <color indexed="81"/>
            <rFont val="Tahoma"/>
            <family val="2"/>
          </rPr>
          <t>Năm 2021: 2.500
Năm 2022: 1.650</t>
        </r>
      </text>
    </comment>
    <comment ref="N85" authorId="2">
      <text>
        <r>
          <rPr>
            <b/>
            <sz val="9"/>
            <color indexed="81"/>
            <rFont val="Tahoma"/>
            <family val="2"/>
          </rPr>
          <t xml:space="preserve">Năm 2021: 2.500
Năm 2022: 2.049
</t>
        </r>
      </text>
    </comment>
    <comment ref="N86" authorId="2">
      <text>
        <r>
          <rPr>
            <b/>
            <sz val="9"/>
            <color indexed="81"/>
            <rFont val="Tahoma"/>
            <family val="2"/>
          </rPr>
          <t xml:space="preserve">Năm 2021: 2.500
Năm 2022: 2.800
</t>
        </r>
      </text>
    </comment>
    <comment ref="N87" authorId="2">
      <text>
        <r>
          <rPr>
            <b/>
            <sz val="9"/>
            <color indexed="81"/>
            <rFont val="Tahoma"/>
            <family val="2"/>
          </rPr>
          <t>Năm 2021: 2.000
Năm 2022: 2.893</t>
        </r>
      </text>
    </comment>
    <comment ref="N88" authorId="2">
      <text>
        <r>
          <rPr>
            <b/>
            <sz val="9"/>
            <color indexed="81"/>
            <rFont val="Tahoma"/>
            <family val="2"/>
          </rPr>
          <t>Năm 2021: 2.000
Năm 2022: 2.080</t>
        </r>
      </text>
    </comment>
    <comment ref="N89" authorId="2">
      <text>
        <r>
          <rPr>
            <b/>
            <sz val="9"/>
            <color indexed="81"/>
            <rFont val="Tahoma"/>
            <family val="2"/>
          </rPr>
          <t>Năm 2021: 2.500
Năm 2022: 2.337
Năm 2023: 2.770</t>
        </r>
      </text>
    </comment>
    <comment ref="N90" authorId="1">
      <text>
        <r>
          <rPr>
            <b/>
            <sz val="9"/>
            <color indexed="81"/>
            <rFont val="Tahoma"/>
            <family val="2"/>
          </rPr>
          <t>Năm 2022: 2.000
Năm 2023: 3.937
Năm 2024: 1.377</t>
        </r>
      </text>
    </comment>
    <comment ref="N91" authorId="2">
      <text>
        <r>
          <rPr>
            <b/>
            <sz val="9"/>
            <color indexed="81"/>
            <rFont val="Tahoma"/>
            <family val="2"/>
          </rPr>
          <t>Năm 2022: 1.500
Năm 2023: 2.463</t>
        </r>
      </text>
    </comment>
    <comment ref="N92" authorId="1">
      <text>
        <r>
          <rPr>
            <b/>
            <sz val="9"/>
            <color indexed="81"/>
            <rFont val="Tahoma"/>
            <family val="2"/>
          </rPr>
          <t>Năm 2022: 2.000
Năm 2023: 4.564
Năm 2024: 4,034</t>
        </r>
      </text>
    </comment>
    <comment ref="N93" authorId="1">
      <text>
        <r>
          <rPr>
            <b/>
            <sz val="9"/>
            <color indexed="81"/>
            <rFont val="Tahoma"/>
            <family val="2"/>
          </rPr>
          <t>Năm 2022: 2.000
Năm 2023: 3.000
Năm 2024: 3,680</t>
        </r>
      </text>
    </comment>
    <comment ref="N94" authorId="2">
      <text>
        <r>
          <rPr>
            <b/>
            <sz val="9"/>
            <color indexed="81"/>
            <rFont val="Tahoma"/>
            <family val="2"/>
          </rPr>
          <t xml:space="preserve">Năm 2022: 1.000
Năm 2024: 466
</t>
        </r>
      </text>
    </comment>
    <comment ref="N95" authorId="2">
      <text>
        <r>
          <rPr>
            <b/>
            <sz val="9"/>
            <color indexed="81"/>
            <rFont val="Tahoma"/>
            <family val="2"/>
          </rPr>
          <t xml:space="preserve">Năm 2022: 1.000
Năm 2024: 390
</t>
        </r>
      </text>
    </comment>
    <comment ref="N96" authorId="2">
      <text>
        <r>
          <rPr>
            <b/>
            <sz val="9"/>
            <color indexed="81"/>
            <rFont val="Tahoma"/>
            <family val="2"/>
          </rPr>
          <t>Năm 2022: 1.000
Năm 2023: 1.100</t>
        </r>
      </text>
    </comment>
    <comment ref="N97" authorId="2">
      <text>
        <r>
          <rPr>
            <b/>
            <sz val="9"/>
            <color indexed="81"/>
            <rFont val="Tahoma"/>
            <family val="2"/>
          </rPr>
          <t>Năm 2024: 300</t>
        </r>
      </text>
    </comment>
    <comment ref="N98" authorId="2">
      <text>
        <r>
          <rPr>
            <b/>
            <sz val="9"/>
            <color indexed="81"/>
            <rFont val="Tahoma"/>
            <family val="2"/>
          </rPr>
          <t>Năm 2024: 300</t>
        </r>
      </text>
    </comment>
    <comment ref="N99" authorId="2">
      <text>
        <r>
          <rPr>
            <b/>
            <sz val="9"/>
            <color indexed="81"/>
            <rFont val="Tahoma"/>
            <family val="2"/>
          </rPr>
          <t>Năm 2024: 300</t>
        </r>
      </text>
    </comment>
    <comment ref="N100" authorId="2">
      <text>
        <r>
          <rPr>
            <b/>
            <sz val="9"/>
            <color indexed="81"/>
            <rFont val="Tahoma"/>
            <family val="2"/>
          </rPr>
          <t>Năm 2024: 300</t>
        </r>
      </text>
    </comment>
    <comment ref="N109" authorId="2">
      <text>
        <r>
          <rPr>
            <b/>
            <sz val="9"/>
            <color indexed="81"/>
            <rFont val="Tahoma"/>
            <family val="2"/>
          </rPr>
          <t>Năm 2021: 6.000
Năm 2022: 4.626</t>
        </r>
      </text>
    </comment>
    <comment ref="N110" authorId="2">
      <text>
        <r>
          <rPr>
            <b/>
            <sz val="9"/>
            <color indexed="81"/>
            <rFont val="Tahoma"/>
            <family val="2"/>
          </rPr>
          <t>Năm 2021: 1.682</t>
        </r>
      </text>
    </comment>
    <comment ref="N111" authorId="2">
      <text>
        <r>
          <rPr>
            <b/>
            <sz val="9"/>
            <color indexed="81"/>
            <rFont val="Tahoma"/>
            <family val="2"/>
          </rPr>
          <t>Năm 2021: 536</t>
        </r>
      </text>
    </comment>
    <comment ref="N112" authorId="2">
      <text>
        <r>
          <rPr>
            <b/>
            <sz val="9"/>
            <color indexed="81"/>
            <rFont val="Tahoma"/>
            <family val="2"/>
          </rPr>
          <t>Năm 2021: 3354</t>
        </r>
      </text>
    </comment>
    <comment ref="N113" authorId="2">
      <text>
        <r>
          <rPr>
            <b/>
            <sz val="9"/>
            <color indexed="81"/>
            <rFont val="Tahoma"/>
            <family val="2"/>
          </rPr>
          <t>Năm 2021: 1.200</t>
        </r>
      </text>
    </comment>
    <comment ref="N114" authorId="2">
      <text>
        <r>
          <rPr>
            <b/>
            <sz val="9"/>
            <color indexed="81"/>
            <rFont val="Tahoma"/>
            <family val="2"/>
          </rPr>
          <t>Năm 2021: 410</t>
        </r>
      </text>
    </comment>
    <comment ref="N115" authorId="2">
      <text>
        <r>
          <rPr>
            <b/>
            <sz val="9"/>
            <color indexed="81"/>
            <rFont val="Tahoma"/>
            <family val="2"/>
          </rPr>
          <t>Năm 2021: 520</t>
        </r>
      </text>
    </comment>
    <comment ref="N116" authorId="2">
      <text>
        <r>
          <rPr>
            <b/>
            <sz val="9"/>
            <color indexed="81"/>
            <rFont val="Tahoma"/>
            <family val="2"/>
          </rPr>
          <t>Năm 2021: 111</t>
        </r>
      </text>
    </comment>
    <comment ref="N117" authorId="2">
      <text>
        <r>
          <rPr>
            <b/>
            <sz val="9"/>
            <color indexed="81"/>
            <rFont val="Tahoma"/>
            <family val="2"/>
          </rPr>
          <t>Năm 2021: 740</t>
        </r>
      </text>
    </comment>
    <comment ref="N119" authorId="2">
      <text>
        <r>
          <rPr>
            <b/>
            <sz val="9"/>
            <color indexed="81"/>
            <rFont val="Tahoma"/>
            <family val="2"/>
          </rPr>
          <t>Năm 2021: 2.500
Năm 2022: 1.400</t>
        </r>
      </text>
    </comment>
    <comment ref="N120" authorId="2">
      <text>
        <r>
          <rPr>
            <b/>
            <sz val="9"/>
            <color indexed="81"/>
            <rFont val="Tahoma"/>
            <family val="2"/>
          </rPr>
          <t>Năm 2022: 1.500
Năm 2023: 5.805</t>
        </r>
      </text>
    </comment>
    <comment ref="N121" authorId="2">
      <text>
        <r>
          <rPr>
            <b/>
            <sz val="9"/>
            <color indexed="81"/>
            <rFont val="Tahoma"/>
            <family val="2"/>
          </rPr>
          <t>Năm 2022: 1.500
Năm 2023: 5.389</t>
        </r>
      </text>
    </comment>
    <comment ref="N122" authorId="2">
      <text>
        <r>
          <rPr>
            <b/>
            <sz val="9"/>
            <color indexed="81"/>
            <rFont val="Tahoma"/>
            <family val="2"/>
          </rPr>
          <t>Năm 2022: 1.820
Năm 2023: 3.237</t>
        </r>
      </text>
    </comment>
    <comment ref="N123" authorId="2">
      <text>
        <r>
          <rPr>
            <b/>
            <sz val="9"/>
            <color indexed="81"/>
            <rFont val="Tahoma"/>
            <family val="2"/>
          </rPr>
          <t>Năm 2022: 800</t>
        </r>
      </text>
    </comment>
    <comment ref="N124" authorId="2">
      <text>
        <r>
          <rPr>
            <b/>
            <sz val="9"/>
            <color indexed="81"/>
            <rFont val="Tahoma"/>
            <family val="2"/>
          </rPr>
          <t>Năm 2022: 1.550
Năm 2023: 3.418</t>
        </r>
      </text>
    </comment>
    <comment ref="N125" authorId="2">
      <text>
        <r>
          <rPr>
            <b/>
            <sz val="9"/>
            <color indexed="81"/>
            <rFont val="Tahoma"/>
            <family val="2"/>
          </rPr>
          <t>Năm 2022: 500
Năm 2023: 135</t>
        </r>
      </text>
    </comment>
    <comment ref="N126" authorId="2">
      <text>
        <r>
          <rPr>
            <b/>
            <sz val="9"/>
            <color indexed="81"/>
            <rFont val="Tahoma"/>
            <family val="2"/>
          </rPr>
          <t>Năm 2022: 400</t>
        </r>
      </text>
    </comment>
    <comment ref="N127" authorId="2">
      <text>
        <r>
          <rPr>
            <b/>
            <sz val="9"/>
            <color indexed="81"/>
            <rFont val="Tahoma"/>
            <family val="2"/>
          </rPr>
          <t>Năm 2024: 2030</t>
        </r>
      </text>
    </comment>
    <comment ref="N128" authorId="2">
      <text>
        <r>
          <rPr>
            <b/>
            <sz val="9"/>
            <color indexed="81"/>
            <rFont val="Tahoma"/>
            <family val="2"/>
          </rPr>
          <t>Năm 2024: 1.281</t>
        </r>
      </text>
    </comment>
    <comment ref="N129" authorId="1">
      <text>
        <r>
          <rPr>
            <b/>
            <sz val="9"/>
            <color indexed="81"/>
            <rFont val="Tahoma"/>
            <family val="2"/>
          </rPr>
          <t>Năm 2023: 1.082
Năm 2024: 1018</t>
        </r>
      </text>
    </comment>
    <comment ref="N130" authorId="2">
      <text>
        <r>
          <rPr>
            <b/>
            <sz val="9"/>
            <color indexed="81"/>
            <rFont val="Tahoma"/>
            <family val="2"/>
          </rPr>
          <t>Năm 2024: 840</t>
        </r>
      </text>
    </comment>
    <comment ref="J131" authorId="1">
      <text>
        <r>
          <rPr>
            <b/>
            <sz val="9"/>
            <color indexed="81"/>
            <rFont val="Tahoma"/>
            <family val="2"/>
          </rPr>
          <t>ICT:</t>
        </r>
        <r>
          <rPr>
            <sz val="9"/>
            <color indexed="81"/>
            <rFont val="Tahoma"/>
            <family val="2"/>
          </rPr>
          <t xml:space="preserve">
Cập nhật lji toormg mức đầu tư vfa SXKT</t>
        </r>
      </text>
    </comment>
    <comment ref="N131" authorId="2">
      <text>
        <r>
          <rPr>
            <b/>
            <sz val="9"/>
            <color indexed="81"/>
            <rFont val="Tahoma"/>
            <family val="2"/>
          </rPr>
          <t>Năm 2024: 6.000</t>
        </r>
      </text>
    </comment>
    <comment ref="H132" authorId="1">
      <text>
        <r>
          <rPr>
            <b/>
            <sz val="9"/>
            <color indexed="81"/>
            <rFont val="Tahoma"/>
            <family val="2"/>
          </rPr>
          <t>ICT:</t>
        </r>
        <r>
          <rPr>
            <sz val="9"/>
            <color indexed="81"/>
            <rFont val="Tahoma"/>
            <family val="2"/>
          </rPr>
          <t xml:space="preserve">
Điều chỉnh thời gian từ 2021-2023 sang 2021-2025</t>
        </r>
      </text>
    </comment>
    <comment ref="N132" authorId="2">
      <text>
        <r>
          <rPr>
            <b/>
            <sz val="9"/>
            <color indexed="81"/>
            <rFont val="Tahoma"/>
            <family val="2"/>
          </rPr>
          <t>Năm 2024: 5.300</t>
        </r>
      </text>
    </comment>
    <comment ref="N133" authorId="2">
      <text>
        <r>
          <rPr>
            <b/>
            <sz val="9"/>
            <color indexed="81"/>
            <rFont val="Tahoma"/>
            <family val="2"/>
          </rPr>
          <t>Năm 2023: 300
Năm 2024: 4,048</t>
        </r>
      </text>
    </comment>
    <comment ref="N134" authorId="2">
      <text>
        <r>
          <rPr>
            <b/>
            <sz val="9"/>
            <color indexed="81"/>
            <rFont val="Tahoma"/>
            <family val="2"/>
          </rPr>
          <t xml:space="preserve">Năm 2023: 300
Năm 2024: 2.000
</t>
        </r>
      </text>
    </comment>
    <comment ref="J135" authorId="1">
      <text>
        <r>
          <rPr>
            <b/>
            <sz val="9"/>
            <color indexed="81"/>
            <rFont val="Tahoma"/>
            <family val="2"/>
          </rPr>
          <t>ICT:</t>
        </r>
        <r>
          <rPr>
            <sz val="9"/>
            <color indexed="81"/>
            <rFont val="Tahoma"/>
            <family val="2"/>
          </rPr>
          <t xml:space="preserve">
Điiều chỉnh tổng mức đầu tư từ 27 tỷ lên 30,8 tỷ</t>
        </r>
      </text>
    </comment>
    <comment ref="N135" authorId="2">
      <text>
        <r>
          <rPr>
            <b/>
            <sz val="9"/>
            <color indexed="81"/>
            <rFont val="Tahoma"/>
            <family val="2"/>
          </rPr>
          <t>Năm 2024: 2.800</t>
        </r>
      </text>
    </comment>
    <comment ref="N137" authorId="2">
      <text>
        <r>
          <rPr>
            <b/>
            <sz val="9"/>
            <color indexed="81"/>
            <rFont val="Tahoma"/>
            <family val="2"/>
          </rPr>
          <t>Năm 2024: 6.392</t>
        </r>
      </text>
    </comment>
    <comment ref="N139" authorId="2">
      <text>
        <r>
          <rPr>
            <b/>
            <sz val="9"/>
            <color indexed="81"/>
            <rFont val="Tahoma"/>
            <family val="2"/>
          </rPr>
          <t>Năm 2024: 3.000</t>
        </r>
      </text>
    </comment>
    <comment ref="N146" authorId="2">
      <text>
        <r>
          <rPr>
            <b/>
            <sz val="9"/>
            <color indexed="81"/>
            <rFont val="Tahoma"/>
            <family val="2"/>
          </rPr>
          <t>Năm 2021: 1.417
Năm 2022: 1.153</t>
        </r>
      </text>
    </comment>
    <comment ref="N147" authorId="2">
      <text>
        <r>
          <rPr>
            <b/>
            <sz val="9"/>
            <color indexed="81"/>
            <rFont val="Tahoma"/>
            <family val="2"/>
          </rPr>
          <t>Năm 2021: 2.129</t>
        </r>
      </text>
    </comment>
    <comment ref="N148" authorId="2">
      <text>
        <r>
          <rPr>
            <b/>
            <sz val="9"/>
            <color indexed="81"/>
            <rFont val="Tahoma"/>
            <family val="2"/>
          </rPr>
          <t>Năm 2021: 3.013</t>
        </r>
      </text>
    </comment>
    <comment ref="N149" authorId="2">
      <text>
        <r>
          <rPr>
            <b/>
            <sz val="9"/>
            <color indexed="81"/>
            <rFont val="Tahoma"/>
            <family val="2"/>
          </rPr>
          <t>Năm 2021: 1.425</t>
        </r>
      </text>
    </comment>
    <comment ref="N150" authorId="2">
      <text>
        <r>
          <rPr>
            <b/>
            <sz val="9"/>
            <color indexed="81"/>
            <rFont val="Tahoma"/>
            <family val="2"/>
          </rPr>
          <t>Năm 2021: 204</t>
        </r>
      </text>
    </comment>
    <comment ref="N151" authorId="2">
      <text>
        <r>
          <rPr>
            <b/>
            <sz val="9"/>
            <color indexed="81"/>
            <rFont val="Tahoma"/>
            <family val="2"/>
          </rPr>
          <t>Năm 2021: 776</t>
        </r>
      </text>
    </comment>
    <comment ref="N152" authorId="2">
      <text>
        <r>
          <rPr>
            <b/>
            <sz val="9"/>
            <color indexed="81"/>
            <rFont val="Tahoma"/>
            <family val="2"/>
          </rPr>
          <t>Năm 2021: 857</t>
        </r>
      </text>
    </comment>
    <comment ref="N153" authorId="2">
      <text>
        <r>
          <rPr>
            <b/>
            <sz val="9"/>
            <color indexed="81"/>
            <rFont val="Tahoma"/>
            <family val="2"/>
          </rPr>
          <t>Năm 2021: 2.451</t>
        </r>
      </text>
    </comment>
    <comment ref="N154" authorId="2">
      <text>
        <r>
          <rPr>
            <b/>
            <sz val="9"/>
            <color indexed="81"/>
            <rFont val="Tahoma"/>
            <family val="2"/>
          </rPr>
          <t>Năm 2021: 369</t>
        </r>
      </text>
    </comment>
    <comment ref="N155" authorId="2">
      <text>
        <r>
          <rPr>
            <b/>
            <sz val="9"/>
            <color indexed="81"/>
            <rFont val="Tahoma"/>
            <family val="2"/>
          </rPr>
          <t xml:space="preserve">Năm 2021: 1.158
</t>
        </r>
      </text>
    </comment>
    <comment ref="N156" authorId="2">
      <text>
        <r>
          <rPr>
            <b/>
            <sz val="9"/>
            <color indexed="81"/>
            <rFont val="Tahoma"/>
            <family val="2"/>
          </rPr>
          <t>Năm 2021: 1.039</t>
        </r>
      </text>
    </comment>
    <comment ref="N157" authorId="2">
      <text>
        <r>
          <rPr>
            <b/>
            <sz val="9"/>
            <color indexed="81"/>
            <rFont val="Tahoma"/>
            <family val="2"/>
          </rPr>
          <t>Năm 2021: 794</t>
        </r>
      </text>
    </comment>
    <comment ref="N158" authorId="2">
      <text>
        <r>
          <rPr>
            <b/>
            <sz val="9"/>
            <color indexed="81"/>
            <rFont val="Tahoma"/>
            <family val="2"/>
          </rPr>
          <t>Năm 2021: 383</t>
        </r>
      </text>
    </comment>
    <comment ref="N159" authorId="2">
      <text>
        <r>
          <rPr>
            <b/>
            <sz val="9"/>
            <color indexed="81"/>
            <rFont val="Tahoma"/>
            <family val="2"/>
          </rPr>
          <t>Năm 2021: 1.350</t>
        </r>
      </text>
    </comment>
    <comment ref="N160" authorId="2">
      <text>
        <r>
          <rPr>
            <b/>
            <sz val="9"/>
            <color indexed="81"/>
            <rFont val="Tahoma"/>
            <family val="2"/>
          </rPr>
          <t>Năm 2021: 290</t>
        </r>
      </text>
    </comment>
    <comment ref="N162" authorId="2">
      <text>
        <r>
          <rPr>
            <b/>
            <sz val="9"/>
            <color indexed="81"/>
            <rFont val="Tahoma"/>
            <family val="2"/>
          </rPr>
          <t>Năm 2021: 2.267</t>
        </r>
      </text>
    </comment>
    <comment ref="N163" authorId="2">
      <text>
        <r>
          <rPr>
            <b/>
            <sz val="9"/>
            <color indexed="81"/>
            <rFont val="Tahoma"/>
            <family val="2"/>
          </rPr>
          <t>Năm 2021: 565</t>
        </r>
      </text>
    </comment>
    <comment ref="N164" authorId="2">
      <text>
        <r>
          <rPr>
            <b/>
            <sz val="9"/>
            <color indexed="81"/>
            <rFont val="Tahoma"/>
            <family val="2"/>
          </rPr>
          <t>Năm 2021: 364</t>
        </r>
      </text>
    </comment>
    <comment ref="N165" authorId="2">
      <text>
        <r>
          <rPr>
            <b/>
            <sz val="9"/>
            <color indexed="81"/>
            <rFont val="Tahoma"/>
            <family val="2"/>
          </rPr>
          <t>Năm 2021: 471</t>
        </r>
      </text>
    </comment>
    <comment ref="N166" authorId="2">
      <text>
        <r>
          <rPr>
            <b/>
            <sz val="9"/>
            <color indexed="81"/>
            <rFont val="Tahoma"/>
            <family val="2"/>
          </rPr>
          <t>Năm 2021: 1.847</t>
        </r>
      </text>
    </comment>
    <comment ref="N167" authorId="2">
      <text>
        <r>
          <rPr>
            <b/>
            <sz val="9"/>
            <color indexed="81"/>
            <rFont val="Tahoma"/>
            <family val="2"/>
          </rPr>
          <t>Năm 2021: 1.116</t>
        </r>
      </text>
    </comment>
    <comment ref="N168" authorId="2">
      <text>
        <r>
          <rPr>
            <b/>
            <sz val="9"/>
            <color indexed="81"/>
            <rFont val="Tahoma"/>
            <family val="2"/>
          </rPr>
          <t>Năm 2021: 1.454</t>
        </r>
      </text>
    </comment>
    <comment ref="N169" authorId="2">
      <text>
        <r>
          <rPr>
            <b/>
            <sz val="9"/>
            <color indexed="81"/>
            <rFont val="Tahoma"/>
            <family val="2"/>
          </rPr>
          <t xml:space="preserve">Năm 2021: 183
</t>
        </r>
      </text>
    </comment>
    <comment ref="N170" authorId="2">
      <text>
        <r>
          <rPr>
            <b/>
            <sz val="9"/>
            <color indexed="81"/>
            <rFont val="Tahoma"/>
            <family val="2"/>
          </rPr>
          <t>Năm 2021: 1.105</t>
        </r>
      </text>
    </comment>
    <comment ref="N171" authorId="2">
      <text>
        <r>
          <rPr>
            <b/>
            <sz val="9"/>
            <color indexed="81"/>
            <rFont val="Tahoma"/>
            <family val="2"/>
          </rPr>
          <t>Năm 2021: 2.775</t>
        </r>
      </text>
    </comment>
    <comment ref="N172" authorId="2">
      <text>
        <r>
          <rPr>
            <b/>
            <sz val="9"/>
            <color indexed="81"/>
            <rFont val="Tahoma"/>
            <family val="2"/>
          </rPr>
          <t>Năm 2021: 863</t>
        </r>
      </text>
    </comment>
    <comment ref="N173" authorId="2">
      <text>
        <r>
          <rPr>
            <b/>
            <sz val="9"/>
            <color indexed="81"/>
            <rFont val="Tahoma"/>
            <family val="2"/>
          </rPr>
          <t>Năm 2021: 765</t>
        </r>
      </text>
    </comment>
    <comment ref="N174" authorId="2">
      <text>
        <r>
          <rPr>
            <b/>
            <sz val="9"/>
            <color indexed="81"/>
            <rFont val="Tahoma"/>
            <family val="2"/>
          </rPr>
          <t>Năm 2022: 1.500
Năm 2023: 3.000
Năm 2024: 3.500</t>
        </r>
      </text>
    </comment>
    <comment ref="N175" authorId="2">
      <text>
        <r>
          <rPr>
            <b/>
            <sz val="9"/>
            <color indexed="81"/>
            <rFont val="Tahoma"/>
            <family val="2"/>
          </rPr>
          <t>Năm 2022: 1.224</t>
        </r>
      </text>
    </comment>
    <comment ref="N176" authorId="1">
      <text>
        <r>
          <rPr>
            <b/>
            <sz val="9"/>
            <color indexed="81"/>
            <rFont val="Tahoma"/>
            <family val="2"/>
          </rPr>
          <t>Năm 2022: 1.500
Năm 2023: 3.628
Năm 2024: 2.872</t>
        </r>
      </text>
    </comment>
    <comment ref="N177" authorId="2">
      <text>
        <r>
          <rPr>
            <b/>
            <sz val="9"/>
            <color indexed="81"/>
            <rFont val="Tahoma"/>
            <family val="2"/>
          </rPr>
          <t>Năm 2022: 1.500
Năm 2023: 3.000
Năm 2024: 3.500</t>
        </r>
      </text>
    </comment>
    <comment ref="N178" authorId="1">
      <text>
        <r>
          <rPr>
            <b/>
            <sz val="9"/>
            <color indexed="81"/>
            <rFont val="Tahoma"/>
            <family val="2"/>
          </rPr>
          <t>Năm 2022: 1.800
Năm 2023: 4.900
Năm 2024: 4.800</t>
        </r>
      </text>
    </comment>
    <comment ref="N179" authorId="2">
      <text>
        <r>
          <rPr>
            <b/>
            <sz val="9"/>
            <color indexed="81"/>
            <rFont val="Tahoma"/>
            <family val="2"/>
          </rPr>
          <t>Năm 2022: 4.000
Năm 2023: 4.000
Năm 2024: 10.000</t>
        </r>
      </text>
    </comment>
    <comment ref="N180" authorId="1">
      <text>
        <r>
          <rPr>
            <b/>
            <sz val="9"/>
            <color indexed="81"/>
            <rFont val="Tahoma"/>
            <family val="2"/>
          </rPr>
          <t>Năm 2022: 2.500
Năm 2023: 4.000
Năm 2024: 2800</t>
        </r>
      </text>
    </comment>
    <comment ref="N181" authorId="2">
      <text>
        <r>
          <rPr>
            <b/>
            <sz val="9"/>
            <color indexed="81"/>
            <rFont val="Tahoma"/>
            <family val="2"/>
          </rPr>
          <t xml:space="preserve">Năm 2022: 5.146
Năm 2023: 3.000
Năm 2024: 9.914
</t>
        </r>
      </text>
    </comment>
    <comment ref="O181" authorId="2">
      <text>
        <r>
          <rPr>
            <b/>
            <sz val="9"/>
            <color indexed="81"/>
            <rFont val="Tahoma"/>
            <family val="2"/>
          </rPr>
          <t>Administrator:</t>
        </r>
        <r>
          <rPr>
            <sz val="9"/>
            <color indexed="81"/>
            <rFont val="Tahoma"/>
            <family val="2"/>
          </rPr>
          <t xml:space="preserve">
Trừ 2.500 triệu</t>
        </r>
      </text>
    </comment>
    <comment ref="N182" authorId="2">
      <text>
        <r>
          <rPr>
            <b/>
            <sz val="9"/>
            <color indexed="81"/>
            <rFont val="Tahoma"/>
            <family val="2"/>
          </rPr>
          <t>Năm 2022: 1.407
Năm 2023: 7.370
Năm 2024: 6.223</t>
        </r>
      </text>
    </comment>
    <comment ref="N183" authorId="2">
      <text>
        <r>
          <rPr>
            <b/>
            <sz val="9"/>
            <color indexed="81"/>
            <rFont val="Tahoma"/>
            <family val="2"/>
          </rPr>
          <t>Năm 2022: 800
Năm 2023: 7.472
Năm 2024: 13.949</t>
        </r>
      </text>
    </comment>
    <comment ref="N184" authorId="1">
      <text>
        <r>
          <rPr>
            <b/>
            <sz val="9"/>
            <color indexed="81"/>
            <rFont val="Tahoma"/>
            <family val="2"/>
          </rPr>
          <t>Năm 2022: 2.000
Năm 2023: 9.000
Năm 2024; 4.408</t>
        </r>
      </text>
    </comment>
    <comment ref="N185" authorId="2">
      <text>
        <r>
          <rPr>
            <b/>
            <sz val="9"/>
            <color indexed="81"/>
            <rFont val="Tahoma"/>
            <family val="2"/>
          </rPr>
          <t>Năm 2022: 2.000
Năm 2023: 4.000
Năm 2024: 6.000</t>
        </r>
      </text>
    </comment>
    <comment ref="N186" authorId="2">
      <text>
        <r>
          <rPr>
            <b/>
            <sz val="9"/>
            <color indexed="81"/>
            <rFont val="Tahoma"/>
            <family val="2"/>
          </rPr>
          <t>Năm 2022: 2.000
Năm 2023: 6.304
Năm 2024: 5.696</t>
        </r>
      </text>
    </comment>
    <comment ref="N207" authorId="2">
      <text>
        <r>
          <rPr>
            <b/>
            <sz val="9"/>
            <color indexed="81"/>
            <rFont val="Tahoma"/>
            <family val="2"/>
          </rPr>
          <t>Administrator:</t>
        </r>
        <r>
          <rPr>
            <sz val="9"/>
            <color indexed="81"/>
            <rFont val="Tahoma"/>
            <family val="2"/>
          </rPr>
          <t xml:space="preserve">
Vốn năm 2021: 11.969
Vốn năm 2022: 3.196</t>
        </r>
      </text>
    </comment>
    <comment ref="N208" authorId="2">
      <text>
        <r>
          <rPr>
            <b/>
            <sz val="9"/>
            <color indexed="81"/>
            <rFont val="Tahoma"/>
            <family val="2"/>
          </rPr>
          <t>Administrator:</t>
        </r>
        <r>
          <rPr>
            <sz val="9"/>
            <color indexed="81"/>
            <rFont val="Tahoma"/>
            <family val="2"/>
          </rPr>
          <t xml:space="preserve">
Vốn năm 2021: 2.944
Vốn năm 2022: 39</t>
        </r>
      </text>
    </comment>
    <comment ref="N209" authorId="2">
      <text>
        <r>
          <rPr>
            <b/>
            <sz val="9"/>
            <color indexed="81"/>
            <rFont val="Tahoma"/>
            <family val="2"/>
          </rPr>
          <t>Administrator:</t>
        </r>
        <r>
          <rPr>
            <sz val="9"/>
            <color indexed="81"/>
            <rFont val="Tahoma"/>
            <family val="2"/>
          </rPr>
          <t xml:space="preserve">
Vốn năm 2021: 8.000
Vốn năm 2022: 5.700</t>
        </r>
      </text>
    </comment>
    <comment ref="N210" authorId="2">
      <text>
        <r>
          <rPr>
            <b/>
            <sz val="9"/>
            <color indexed="81"/>
            <rFont val="Tahoma"/>
            <family val="2"/>
          </rPr>
          <t>Administrator:</t>
        </r>
        <r>
          <rPr>
            <sz val="9"/>
            <color indexed="81"/>
            <rFont val="Tahoma"/>
            <family val="2"/>
          </rPr>
          <t xml:space="preserve">
Vốn năm 2021: 1.885
Vốn năm 2022: 3.675</t>
        </r>
      </text>
    </comment>
    <comment ref="N211" authorId="2">
      <text>
        <r>
          <rPr>
            <b/>
            <sz val="9"/>
            <color indexed="81"/>
            <rFont val="Tahoma"/>
            <family val="2"/>
          </rPr>
          <t>Administrator:</t>
        </r>
        <r>
          <rPr>
            <sz val="9"/>
            <color indexed="81"/>
            <rFont val="Tahoma"/>
            <family val="2"/>
          </rPr>
          <t xml:space="preserve">
Vốn năm 2021: 4.770
</t>
        </r>
      </text>
    </comment>
    <comment ref="N212" authorId="2">
      <text>
        <r>
          <rPr>
            <b/>
            <sz val="9"/>
            <color indexed="81"/>
            <rFont val="Tahoma"/>
            <family val="2"/>
          </rPr>
          <t>Administrator:</t>
        </r>
        <r>
          <rPr>
            <sz val="9"/>
            <color indexed="81"/>
            <rFont val="Tahoma"/>
            <family val="2"/>
          </rPr>
          <t xml:space="preserve">
Vốn năm 2021: 4.000
Vốn năm 2022: 37</t>
        </r>
      </text>
    </comment>
    <comment ref="N213" authorId="2">
      <text>
        <r>
          <rPr>
            <b/>
            <sz val="9"/>
            <color indexed="81"/>
            <rFont val="Tahoma"/>
            <family val="2"/>
          </rPr>
          <t>Administrator:</t>
        </r>
        <r>
          <rPr>
            <sz val="9"/>
            <color indexed="81"/>
            <rFont val="Tahoma"/>
            <family val="2"/>
          </rPr>
          <t xml:space="preserve">
Vốn năm 2021: 2.607
</t>
        </r>
      </text>
    </comment>
    <comment ref="N214" authorId="2">
      <text>
        <r>
          <rPr>
            <b/>
            <sz val="9"/>
            <color indexed="81"/>
            <rFont val="Tahoma"/>
            <family val="2"/>
          </rPr>
          <t>Administrator:</t>
        </r>
        <r>
          <rPr>
            <sz val="9"/>
            <color indexed="81"/>
            <rFont val="Tahoma"/>
            <family val="2"/>
          </rPr>
          <t xml:space="preserve">
Vốn năm 2021: 4.582
</t>
        </r>
      </text>
    </comment>
    <comment ref="N215" authorId="2">
      <text>
        <r>
          <rPr>
            <b/>
            <sz val="9"/>
            <color indexed="81"/>
            <rFont val="Tahoma"/>
            <family val="2"/>
          </rPr>
          <t>Administrator:</t>
        </r>
        <r>
          <rPr>
            <sz val="9"/>
            <color indexed="81"/>
            <rFont val="Tahoma"/>
            <family val="2"/>
          </rPr>
          <t xml:space="preserve">
Vốn năm 2021: 9.409
</t>
        </r>
      </text>
    </comment>
    <comment ref="N216" authorId="2">
      <text>
        <r>
          <rPr>
            <b/>
            <sz val="9"/>
            <color indexed="81"/>
            <rFont val="Tahoma"/>
            <family val="2"/>
          </rPr>
          <t>Administrator:</t>
        </r>
        <r>
          <rPr>
            <sz val="9"/>
            <color indexed="81"/>
            <rFont val="Tahoma"/>
            <family val="2"/>
          </rPr>
          <t xml:space="preserve">
Vốn năm 2021 : 300
</t>
        </r>
      </text>
    </comment>
    <comment ref="N217" authorId="2">
      <text>
        <r>
          <rPr>
            <b/>
            <sz val="9"/>
            <color indexed="81"/>
            <rFont val="Tahoma"/>
            <family val="2"/>
          </rPr>
          <t>Administrator:</t>
        </r>
        <r>
          <rPr>
            <sz val="9"/>
            <color indexed="81"/>
            <rFont val="Tahoma"/>
            <family val="2"/>
          </rPr>
          <t xml:space="preserve">
Vốn năm 2021: 160
</t>
        </r>
      </text>
    </comment>
    <comment ref="N218" authorId="2">
      <text>
        <r>
          <rPr>
            <b/>
            <sz val="9"/>
            <color indexed="81"/>
            <rFont val="Tahoma"/>
            <family val="2"/>
          </rPr>
          <t>Administrator:</t>
        </r>
        <r>
          <rPr>
            <sz val="9"/>
            <color indexed="81"/>
            <rFont val="Tahoma"/>
            <family val="2"/>
          </rPr>
          <t xml:space="preserve">
Vốn năm 2021: 150
</t>
        </r>
      </text>
    </comment>
    <comment ref="N219" authorId="2">
      <text>
        <r>
          <rPr>
            <b/>
            <sz val="9"/>
            <color indexed="81"/>
            <rFont val="Tahoma"/>
            <family val="2"/>
          </rPr>
          <t>Administrator:</t>
        </r>
        <r>
          <rPr>
            <sz val="9"/>
            <color indexed="81"/>
            <rFont val="Tahoma"/>
            <family val="2"/>
          </rPr>
          <t xml:space="preserve">
Vốn năm 2021: 370
</t>
        </r>
      </text>
    </comment>
    <comment ref="N221" authorId="2">
      <text>
        <r>
          <rPr>
            <b/>
            <sz val="9"/>
            <color indexed="81"/>
            <rFont val="Tahoma"/>
            <family val="2"/>
          </rPr>
          <t>Administrator:</t>
        </r>
        <r>
          <rPr>
            <sz val="9"/>
            <color indexed="81"/>
            <rFont val="Tahoma"/>
            <family val="2"/>
          </rPr>
          <t xml:space="preserve">
Vốn năm 2021: 1.369
Vốn năm 2022: 9</t>
        </r>
      </text>
    </comment>
    <comment ref="N222" authorId="2">
      <text>
        <r>
          <rPr>
            <b/>
            <sz val="9"/>
            <color indexed="81"/>
            <rFont val="Tahoma"/>
            <family val="2"/>
          </rPr>
          <t>Administrator:</t>
        </r>
        <r>
          <rPr>
            <sz val="9"/>
            <color indexed="81"/>
            <rFont val="Tahoma"/>
            <family val="2"/>
          </rPr>
          <t xml:space="preserve">
Vốn năm 2021: 1.440
Vốn năm 2022: 9</t>
        </r>
      </text>
    </comment>
    <comment ref="N223" authorId="2">
      <text>
        <r>
          <rPr>
            <b/>
            <sz val="9"/>
            <color indexed="81"/>
            <rFont val="Tahoma"/>
            <family val="2"/>
          </rPr>
          <t>Administrator:</t>
        </r>
        <r>
          <rPr>
            <sz val="9"/>
            <color indexed="81"/>
            <rFont val="Tahoma"/>
            <family val="2"/>
          </rPr>
          <t xml:space="preserve">
Vốn năm 2021: 1.500
Vốn năm 2022: 217</t>
        </r>
      </text>
    </comment>
    <comment ref="N224" authorId="2">
      <text>
        <r>
          <rPr>
            <b/>
            <sz val="9"/>
            <color indexed="81"/>
            <rFont val="Tahoma"/>
            <family val="2"/>
          </rPr>
          <t>Administrator:</t>
        </r>
        <r>
          <rPr>
            <sz val="9"/>
            <color indexed="81"/>
            <rFont val="Tahoma"/>
            <family val="2"/>
          </rPr>
          <t xml:space="preserve">
Vốn năm 2021: 1.666
Vốn năm 2022: 11</t>
        </r>
      </text>
    </comment>
    <comment ref="N225" authorId="2">
      <text>
        <r>
          <rPr>
            <b/>
            <sz val="9"/>
            <color indexed="81"/>
            <rFont val="Tahoma"/>
            <family val="2"/>
          </rPr>
          <t>Administrator:</t>
        </r>
        <r>
          <rPr>
            <sz val="9"/>
            <color indexed="81"/>
            <rFont val="Tahoma"/>
            <family val="2"/>
          </rPr>
          <t xml:space="preserve">
Vốn năm 2021: 
Vốn năm 2022: 7.729
Vốn năm 2023:288</t>
        </r>
      </text>
    </comment>
    <comment ref="N226" authorId="3">
      <text>
        <r>
          <rPr>
            <b/>
            <sz val="9"/>
            <color indexed="81"/>
            <rFont val="Tahoma"/>
            <family val="2"/>
          </rPr>
          <t>ismail - [2010]:</t>
        </r>
        <r>
          <rPr>
            <sz val="9"/>
            <color indexed="81"/>
            <rFont val="Tahoma"/>
            <family val="2"/>
          </rPr>
          <t xml:space="preserve">
Vốn năm 2022: 2.498
Vốn năm 2023: 9.500
Vốn năm 2024: 11.000</t>
        </r>
      </text>
    </comment>
    <comment ref="N227" authorId="3">
      <text>
        <r>
          <rPr>
            <b/>
            <sz val="9"/>
            <color indexed="81"/>
            <rFont val="Tahoma"/>
            <family val="2"/>
          </rPr>
          <t>ismail - [2010]:</t>
        </r>
        <r>
          <rPr>
            <sz val="9"/>
            <color indexed="81"/>
            <rFont val="Tahoma"/>
            <family val="2"/>
          </rPr>
          <t xml:space="preserve">
Vốn năm 2021: 
Vốn năm 2022: 1.000
Vốn năm 2023: 9.712
Vốn năm 2024: 14.788</t>
        </r>
      </text>
    </comment>
    <comment ref="N228" authorId="3">
      <text>
        <r>
          <rPr>
            <b/>
            <sz val="9"/>
            <color indexed="81"/>
            <rFont val="Tahoma"/>
            <family val="2"/>
          </rPr>
          <t>ismail - [2010]:</t>
        </r>
        <r>
          <rPr>
            <sz val="9"/>
            <color indexed="81"/>
            <rFont val="Tahoma"/>
            <family val="2"/>
          </rPr>
          <t xml:space="preserve">
Vốn năm 2021: 
Vốn năm 2022:
Vốn năm 2023: 
Vốn năm 2024: 3.312</t>
        </r>
      </text>
    </comment>
    <comment ref="N229" authorId="3">
      <text>
        <r>
          <rPr>
            <b/>
            <sz val="9"/>
            <color indexed="81"/>
            <rFont val="Tahoma"/>
            <family val="2"/>
          </rPr>
          <t>ismail - [2010]:</t>
        </r>
        <r>
          <rPr>
            <sz val="9"/>
            <color indexed="81"/>
            <rFont val="Tahoma"/>
            <family val="2"/>
          </rPr>
          <t xml:space="preserve">
Vốn năm 2021: 
Vốn năm 2022:
Vốn năm 2023: 
Vốn năm 2024: 2.000</t>
        </r>
      </text>
    </comment>
    <comment ref="N230" authorId="3">
      <text>
        <r>
          <rPr>
            <b/>
            <sz val="9"/>
            <color indexed="81"/>
            <rFont val="Tahoma"/>
            <family val="2"/>
          </rPr>
          <t>ismail - [2010]:</t>
        </r>
        <r>
          <rPr>
            <sz val="9"/>
            <color indexed="81"/>
            <rFont val="Tahoma"/>
            <family val="2"/>
          </rPr>
          <t xml:space="preserve">
Vốn năm 2021: 
Vốn năm 2022:
Vốn năm 2023: 
Vốn năm 2024: 1.400</t>
        </r>
      </text>
    </comment>
    <comment ref="N231" authorId="3">
      <text>
        <r>
          <rPr>
            <b/>
            <sz val="9"/>
            <color indexed="81"/>
            <rFont val="Tahoma"/>
            <family val="2"/>
          </rPr>
          <t>ismail - [2010]:</t>
        </r>
        <r>
          <rPr>
            <sz val="9"/>
            <color indexed="81"/>
            <rFont val="Tahoma"/>
            <family val="2"/>
          </rPr>
          <t xml:space="preserve">
Vốn năm 2021: 
Vốn năm 2022:
Vốn năm 2023: 
Vốn năm 2024: 2.000</t>
        </r>
      </text>
    </comment>
    <comment ref="O231" authorId="3">
      <text>
        <r>
          <rPr>
            <b/>
            <sz val="9"/>
            <color indexed="81"/>
            <rFont val="Tahoma"/>
            <family val="2"/>
          </rPr>
          <t>Bố trí vốn trung ương: 1,019</t>
        </r>
      </text>
    </comment>
    <comment ref="N240" authorId="2">
      <text>
        <r>
          <rPr>
            <b/>
            <sz val="9"/>
            <color indexed="81"/>
            <rFont val="Tahoma"/>
            <family val="2"/>
          </rPr>
          <t>Administrator:</t>
        </r>
        <r>
          <rPr>
            <sz val="9"/>
            <color indexed="81"/>
            <rFont val="Tahoma"/>
            <family val="2"/>
          </rPr>
          <t xml:space="preserve">
Vốn năm 2021: 512
</t>
        </r>
      </text>
    </comment>
    <comment ref="N241" authorId="2">
      <text>
        <r>
          <rPr>
            <b/>
            <sz val="9"/>
            <color indexed="81"/>
            <rFont val="Tahoma"/>
            <family val="2"/>
          </rPr>
          <t>Administrator:</t>
        </r>
        <r>
          <rPr>
            <sz val="9"/>
            <color indexed="81"/>
            <rFont val="Tahoma"/>
            <family val="2"/>
          </rPr>
          <t xml:space="preserve">
Vốn năm 2021: 445
</t>
        </r>
      </text>
    </comment>
    <comment ref="N242" authorId="2">
      <text>
        <r>
          <rPr>
            <b/>
            <sz val="9"/>
            <color indexed="81"/>
            <rFont val="Tahoma"/>
            <family val="2"/>
          </rPr>
          <t>Administrator:</t>
        </r>
        <r>
          <rPr>
            <sz val="9"/>
            <color indexed="81"/>
            <rFont val="Tahoma"/>
            <family val="2"/>
          </rPr>
          <t xml:space="preserve">
Vốn năm 2021: 1.547
</t>
        </r>
      </text>
    </comment>
    <comment ref="N243" authorId="2">
      <text>
        <r>
          <rPr>
            <b/>
            <sz val="9"/>
            <color indexed="81"/>
            <rFont val="Tahoma"/>
            <family val="2"/>
          </rPr>
          <t>Administrator:</t>
        </r>
        <r>
          <rPr>
            <sz val="9"/>
            <color indexed="81"/>
            <rFont val="Tahoma"/>
            <family val="2"/>
          </rPr>
          <t xml:space="preserve">
Vốn năm 2021: 1.391
</t>
        </r>
      </text>
    </comment>
    <comment ref="N244" authorId="2">
      <text>
        <r>
          <rPr>
            <b/>
            <sz val="9"/>
            <color indexed="81"/>
            <rFont val="Tahoma"/>
            <family val="2"/>
          </rPr>
          <t>Administrator:</t>
        </r>
        <r>
          <rPr>
            <sz val="9"/>
            <color indexed="81"/>
            <rFont val="Tahoma"/>
            <family val="2"/>
          </rPr>
          <t xml:space="preserve">
Vốn năm 2021: 144
</t>
        </r>
      </text>
    </comment>
    <comment ref="N245" authorId="2">
      <text>
        <r>
          <rPr>
            <b/>
            <sz val="9"/>
            <color indexed="81"/>
            <rFont val="Tahoma"/>
            <family val="2"/>
          </rPr>
          <t>Administrator:</t>
        </r>
        <r>
          <rPr>
            <sz val="9"/>
            <color indexed="81"/>
            <rFont val="Tahoma"/>
            <family val="2"/>
          </rPr>
          <t xml:space="preserve">
Vốn năm 2021: 1.108
</t>
        </r>
      </text>
    </comment>
    <comment ref="N246" authorId="2">
      <text>
        <r>
          <rPr>
            <b/>
            <sz val="9"/>
            <color indexed="81"/>
            <rFont val="Tahoma"/>
            <family val="2"/>
          </rPr>
          <t>Administrator:</t>
        </r>
        <r>
          <rPr>
            <sz val="9"/>
            <color indexed="81"/>
            <rFont val="Tahoma"/>
            <family val="2"/>
          </rPr>
          <t xml:space="preserve">
Vốn năm 2021: 300
</t>
        </r>
      </text>
    </comment>
    <comment ref="N247" authorId="2">
      <text>
        <r>
          <rPr>
            <b/>
            <sz val="9"/>
            <color indexed="81"/>
            <rFont val="Tahoma"/>
            <family val="2"/>
          </rPr>
          <t>Administrator:</t>
        </r>
        <r>
          <rPr>
            <sz val="9"/>
            <color indexed="81"/>
            <rFont val="Tahoma"/>
            <family val="2"/>
          </rPr>
          <t xml:space="preserve">
Vốn năm 2021: 4.794
Vốn năm 2022: 5.800
</t>
        </r>
      </text>
    </comment>
    <comment ref="N248" authorId="2">
      <text>
        <r>
          <rPr>
            <b/>
            <sz val="9"/>
            <color indexed="81"/>
            <rFont val="Tahoma"/>
            <family val="2"/>
          </rPr>
          <t>Administrator:</t>
        </r>
        <r>
          <rPr>
            <sz val="9"/>
            <color indexed="81"/>
            <rFont val="Tahoma"/>
            <family val="2"/>
          </rPr>
          <t xml:space="preserve">
Vốn năm 2021: 2.203
Vốn năm 2022: 434
</t>
        </r>
      </text>
    </comment>
    <comment ref="N249" authorId="2">
      <text>
        <r>
          <rPr>
            <b/>
            <sz val="9"/>
            <color indexed="81"/>
            <rFont val="Tahoma"/>
            <family val="2"/>
          </rPr>
          <t>Administrator:</t>
        </r>
        <r>
          <rPr>
            <sz val="9"/>
            <color indexed="81"/>
            <rFont val="Tahoma"/>
            <family val="2"/>
          </rPr>
          <t xml:space="preserve">
Vốn năm 2021: 1.700
Vốn năm 2022: 250
</t>
        </r>
      </text>
    </comment>
    <comment ref="N250" authorId="2">
      <text>
        <r>
          <rPr>
            <b/>
            <sz val="9"/>
            <color indexed="81"/>
            <rFont val="Tahoma"/>
            <family val="2"/>
          </rPr>
          <t>Administrator:</t>
        </r>
        <r>
          <rPr>
            <sz val="9"/>
            <color indexed="81"/>
            <rFont val="Tahoma"/>
            <family val="2"/>
          </rPr>
          <t xml:space="preserve">
Vốn năm 2021: 9.617
</t>
        </r>
      </text>
    </comment>
    <comment ref="N251" authorId="2">
      <text>
        <r>
          <rPr>
            <b/>
            <sz val="9"/>
            <color indexed="81"/>
            <rFont val="Tahoma"/>
            <family val="2"/>
          </rPr>
          <t>Administrator:</t>
        </r>
        <r>
          <rPr>
            <sz val="9"/>
            <color indexed="81"/>
            <rFont val="Tahoma"/>
            <family val="2"/>
          </rPr>
          <t xml:space="preserve">
Vốn năm 2021: 5.783
</t>
        </r>
      </text>
    </comment>
    <comment ref="N252" authorId="2">
      <text>
        <r>
          <rPr>
            <b/>
            <sz val="9"/>
            <color indexed="81"/>
            <rFont val="Tahoma"/>
            <family val="2"/>
          </rPr>
          <t>Administrator:</t>
        </r>
        <r>
          <rPr>
            <sz val="9"/>
            <color indexed="81"/>
            <rFont val="Tahoma"/>
            <family val="2"/>
          </rPr>
          <t xml:space="preserve">
Vốn năm 2021: 2.280
</t>
        </r>
      </text>
    </comment>
    <comment ref="N254" authorId="2">
      <text>
        <r>
          <rPr>
            <b/>
            <sz val="9"/>
            <color indexed="81"/>
            <rFont val="Tahoma"/>
            <family val="2"/>
          </rPr>
          <t>Administrator:</t>
        </r>
        <r>
          <rPr>
            <sz val="9"/>
            <color indexed="81"/>
            <rFont val="Tahoma"/>
            <family val="2"/>
          </rPr>
          <t xml:space="preserve">
Vốn năm 2021: 2.000
Vốn năm 2022: 1.100
</t>
        </r>
      </text>
    </comment>
    <comment ref="N255" authorId="2">
      <text>
        <r>
          <rPr>
            <b/>
            <sz val="9"/>
            <color indexed="81"/>
            <rFont val="Tahoma"/>
            <family val="2"/>
          </rPr>
          <t>Administrator:</t>
        </r>
        <r>
          <rPr>
            <sz val="9"/>
            <color indexed="81"/>
            <rFont val="Tahoma"/>
            <family val="2"/>
          </rPr>
          <t xml:space="preserve">
Vốn năm 2021: 4.114
Vốn năm 2022: 6.500
</t>
        </r>
      </text>
    </comment>
    <comment ref="N256" authorId="2">
      <text>
        <r>
          <rPr>
            <b/>
            <sz val="9"/>
            <color indexed="81"/>
            <rFont val="Tahoma"/>
            <family val="2"/>
          </rPr>
          <t>Administrator:</t>
        </r>
        <r>
          <rPr>
            <sz val="9"/>
            <color indexed="81"/>
            <rFont val="Tahoma"/>
            <family val="2"/>
          </rPr>
          <t xml:space="preserve">
Vốn năm 2021: 1.000
Vốn năm 2022: 438
</t>
        </r>
      </text>
    </comment>
    <comment ref="N257" authorId="2">
      <text>
        <r>
          <rPr>
            <b/>
            <sz val="9"/>
            <color indexed="81"/>
            <rFont val="Tahoma"/>
            <family val="2"/>
          </rPr>
          <t>Administrator:</t>
        </r>
        <r>
          <rPr>
            <sz val="9"/>
            <color indexed="81"/>
            <rFont val="Tahoma"/>
            <family val="2"/>
          </rPr>
          <t xml:space="preserve">
Vốn năm 2021: 784
</t>
        </r>
      </text>
    </comment>
    <comment ref="N258" authorId="2">
      <text>
        <r>
          <rPr>
            <b/>
            <sz val="9"/>
            <color indexed="81"/>
            <rFont val="Tahoma"/>
            <family val="2"/>
          </rPr>
          <t>Administrator:</t>
        </r>
        <r>
          <rPr>
            <sz val="9"/>
            <color indexed="81"/>
            <rFont val="Tahoma"/>
            <family val="2"/>
          </rPr>
          <t xml:space="preserve">
Vốn năm 2021: 1.900
Vốn năm 2022: 80
</t>
        </r>
      </text>
    </comment>
    <comment ref="N259" authorId="2">
      <text>
        <r>
          <rPr>
            <b/>
            <sz val="9"/>
            <color indexed="81"/>
            <rFont val="Tahoma"/>
            <family val="2"/>
          </rPr>
          <t>Administrator:</t>
        </r>
        <r>
          <rPr>
            <sz val="9"/>
            <color indexed="81"/>
            <rFont val="Tahoma"/>
            <family val="2"/>
          </rPr>
          <t xml:space="preserve">
Vốn năm 2021: 591
</t>
        </r>
      </text>
    </comment>
    <comment ref="N260" authorId="2">
      <text>
        <r>
          <rPr>
            <b/>
            <sz val="9"/>
            <color indexed="81"/>
            <rFont val="Tahoma"/>
            <family val="2"/>
          </rPr>
          <t>Administrator:</t>
        </r>
        <r>
          <rPr>
            <sz val="9"/>
            <color indexed="81"/>
            <rFont val="Tahoma"/>
            <family val="2"/>
          </rPr>
          <t xml:space="preserve">
Vốn năm 2021: 
Vốn năm 2022: 2.578
Vốn năm 2023: 3.000
Vốn năm 2024:  3.060</t>
        </r>
      </text>
    </comment>
    <comment ref="H261" authorId="3">
      <text>
        <r>
          <rPr>
            <b/>
            <sz val="9"/>
            <color indexed="81"/>
            <rFont val="Tahoma"/>
            <family val="2"/>
          </rPr>
          <t>ismail - [2010]:</t>
        </r>
        <r>
          <rPr>
            <sz val="9"/>
            <color indexed="81"/>
            <rFont val="Tahoma"/>
            <family val="2"/>
          </rPr>
          <t xml:space="preserve">
</t>
        </r>
        <r>
          <rPr>
            <sz val="14"/>
            <color indexed="81"/>
            <rFont val="Tahoma"/>
            <family val="2"/>
          </rPr>
          <t>380/QĐ-UBND ngày 25/2/2021
Quyết định số 665/QD-UBND ngày 3/4/2024
Quyết định số 2258/QĐ-UBND ngày 04/10/2022</t>
        </r>
      </text>
    </comment>
    <comment ref="N261" authorId="3">
      <text>
        <r>
          <rPr>
            <b/>
            <sz val="9"/>
            <color indexed="81"/>
            <rFont val="Tahoma"/>
            <family val="2"/>
          </rPr>
          <t>ismail - [2010]:</t>
        </r>
        <r>
          <rPr>
            <sz val="9"/>
            <color indexed="81"/>
            <rFont val="Tahoma"/>
            <family val="2"/>
          </rPr>
          <t xml:space="preserve">
Vốn năm 2021: 
Vốn năm 2022: 2.000
Vốn năm 2023: 4.500
Vốn năm 2024: 6.400</t>
        </r>
      </text>
    </comment>
    <comment ref="N262" authorId="3">
      <text>
        <r>
          <rPr>
            <b/>
            <sz val="9"/>
            <color indexed="81"/>
            <rFont val="Tahoma"/>
            <family val="2"/>
          </rPr>
          <t>ismail - [2010]:</t>
        </r>
        <r>
          <rPr>
            <sz val="9"/>
            <color indexed="81"/>
            <rFont val="Tahoma"/>
            <family val="2"/>
          </rPr>
          <t xml:space="preserve">
Vốn năm 2021: 
Vốn năm 2022: 2.000
Vốn năm 2023: 8.000
Vốn năm 2024: 1.083</t>
        </r>
      </text>
    </comment>
    <comment ref="N263" authorId="3">
      <text>
        <r>
          <rPr>
            <b/>
            <sz val="9"/>
            <color indexed="81"/>
            <rFont val="Tahoma"/>
            <family val="2"/>
          </rPr>
          <t>ismail - [2010]:</t>
        </r>
        <r>
          <rPr>
            <sz val="9"/>
            <color indexed="81"/>
            <rFont val="Tahoma"/>
            <family val="2"/>
          </rPr>
          <t xml:space="preserve">
Vốn năm 2021: 
Vốn năm 2022: 2.000
Vốn năm 2023: 4.500
Vốn năm 2024: 4.500</t>
        </r>
      </text>
    </comment>
    <comment ref="N270" authorId="2">
      <text>
        <r>
          <rPr>
            <b/>
            <sz val="9"/>
            <color indexed="81"/>
            <rFont val="Tahoma"/>
            <family val="2"/>
          </rPr>
          <t>Administrator:</t>
        </r>
        <r>
          <rPr>
            <sz val="9"/>
            <color indexed="81"/>
            <rFont val="Tahoma"/>
            <family val="2"/>
          </rPr>
          <t xml:space="preserve">
Vốn năm 2021: 2.150
</t>
        </r>
      </text>
    </comment>
    <comment ref="N271" authorId="2">
      <text>
        <r>
          <rPr>
            <b/>
            <sz val="9"/>
            <color indexed="81"/>
            <rFont val="Tahoma"/>
            <family val="2"/>
          </rPr>
          <t>Administrator:</t>
        </r>
        <r>
          <rPr>
            <sz val="9"/>
            <color indexed="81"/>
            <rFont val="Tahoma"/>
            <family val="2"/>
          </rPr>
          <t xml:space="preserve">
Vốn năm 2021: 197
</t>
        </r>
      </text>
    </comment>
    <comment ref="N272" authorId="2">
      <text>
        <r>
          <rPr>
            <b/>
            <sz val="9"/>
            <color indexed="81"/>
            <rFont val="Tahoma"/>
            <family val="2"/>
          </rPr>
          <t>Administrator:</t>
        </r>
        <r>
          <rPr>
            <sz val="9"/>
            <color indexed="81"/>
            <rFont val="Tahoma"/>
            <family val="2"/>
          </rPr>
          <t xml:space="preserve">
Vốn năm 2021: 224
</t>
        </r>
      </text>
    </comment>
    <comment ref="N273" authorId="2">
      <text>
        <r>
          <rPr>
            <b/>
            <sz val="9"/>
            <color indexed="81"/>
            <rFont val="Tahoma"/>
            <family val="2"/>
          </rPr>
          <t>Administrator:</t>
        </r>
        <r>
          <rPr>
            <sz val="9"/>
            <color indexed="81"/>
            <rFont val="Tahoma"/>
            <family val="2"/>
          </rPr>
          <t xml:space="preserve">
Vốn năm 2021: 678
</t>
        </r>
      </text>
    </comment>
    <comment ref="N274" authorId="2">
      <text>
        <r>
          <rPr>
            <b/>
            <sz val="9"/>
            <color indexed="81"/>
            <rFont val="Tahoma"/>
            <family val="2"/>
          </rPr>
          <t>Administrator:</t>
        </r>
        <r>
          <rPr>
            <sz val="9"/>
            <color indexed="81"/>
            <rFont val="Tahoma"/>
            <family val="2"/>
          </rPr>
          <t xml:space="preserve">
Vốn năm 2021: 200
</t>
        </r>
      </text>
    </comment>
    <comment ref="N275" authorId="2">
      <text>
        <r>
          <rPr>
            <b/>
            <sz val="9"/>
            <color indexed="81"/>
            <rFont val="Tahoma"/>
            <family val="2"/>
          </rPr>
          <t>Administrator:</t>
        </r>
        <r>
          <rPr>
            <sz val="9"/>
            <color indexed="81"/>
            <rFont val="Tahoma"/>
            <family val="2"/>
          </rPr>
          <t xml:space="preserve">
Vốn năm 2021: 1.590
</t>
        </r>
      </text>
    </comment>
    <comment ref="N277" authorId="2">
      <text>
        <r>
          <rPr>
            <b/>
            <sz val="9"/>
            <color indexed="81"/>
            <rFont val="Tahoma"/>
            <family val="2"/>
          </rPr>
          <t>Administrator:</t>
        </r>
        <r>
          <rPr>
            <sz val="9"/>
            <color indexed="81"/>
            <rFont val="Tahoma"/>
            <family val="2"/>
          </rPr>
          <t xml:space="preserve">
Vốn năm 2021: 2.550
Vốn năm 2022: 1.403
</t>
        </r>
      </text>
    </comment>
    <comment ref="N278" authorId="2">
      <text>
        <r>
          <rPr>
            <b/>
            <sz val="9"/>
            <color indexed="81"/>
            <rFont val="Tahoma"/>
            <family val="2"/>
          </rPr>
          <t>Administrator:</t>
        </r>
        <r>
          <rPr>
            <sz val="9"/>
            <color indexed="81"/>
            <rFont val="Tahoma"/>
            <family val="2"/>
          </rPr>
          <t xml:space="preserve">
Vốn năm 2021: 1.103
Vốn năm 2022: 1.230
</t>
        </r>
      </text>
    </comment>
    <comment ref="N279" authorId="2">
      <text>
        <r>
          <rPr>
            <b/>
            <sz val="9"/>
            <color indexed="81"/>
            <rFont val="Tahoma"/>
            <family val="2"/>
          </rPr>
          <t>Administrator:</t>
        </r>
        <r>
          <rPr>
            <sz val="9"/>
            <color indexed="81"/>
            <rFont val="Tahoma"/>
            <family val="2"/>
          </rPr>
          <t xml:space="preserve">
Vốn năm 2021: 1.500
Vốn năm 2022: 693
</t>
        </r>
      </text>
    </comment>
    <comment ref="N280" authorId="2">
      <text>
        <r>
          <rPr>
            <b/>
            <sz val="9"/>
            <color indexed="81"/>
            <rFont val="Tahoma"/>
            <family val="2"/>
          </rPr>
          <t>Administrator:</t>
        </r>
        <r>
          <rPr>
            <sz val="9"/>
            <color indexed="81"/>
            <rFont val="Tahoma"/>
            <family val="2"/>
          </rPr>
          <t xml:space="preserve">
Vốn năm 2021: 1.500
Vốn năm 2022: 955
</t>
        </r>
      </text>
    </comment>
    <comment ref="N281" authorId="2">
      <text>
        <r>
          <rPr>
            <b/>
            <sz val="9"/>
            <color indexed="81"/>
            <rFont val="Tahoma"/>
            <family val="2"/>
          </rPr>
          <t>Administrator:</t>
        </r>
        <r>
          <rPr>
            <sz val="9"/>
            <color indexed="81"/>
            <rFont val="Tahoma"/>
            <family val="2"/>
          </rPr>
          <t xml:space="preserve">
Vốn năm 2021: 617
</t>
        </r>
      </text>
    </comment>
    <comment ref="N282" authorId="2">
      <text>
        <r>
          <rPr>
            <b/>
            <sz val="9"/>
            <color indexed="81"/>
            <rFont val="Tahoma"/>
            <family val="2"/>
          </rPr>
          <t>Administrator:</t>
        </r>
        <r>
          <rPr>
            <sz val="9"/>
            <color indexed="81"/>
            <rFont val="Tahoma"/>
            <family val="2"/>
          </rPr>
          <t xml:space="preserve">
Vốn năm 2021: 1.549
</t>
        </r>
      </text>
    </comment>
    <comment ref="N283" authorId="2">
      <text>
        <r>
          <rPr>
            <b/>
            <sz val="9"/>
            <color indexed="81"/>
            <rFont val="Tahoma"/>
            <family val="2"/>
          </rPr>
          <t>Administrator:</t>
        </r>
        <r>
          <rPr>
            <sz val="9"/>
            <color indexed="81"/>
            <rFont val="Tahoma"/>
            <family val="2"/>
          </rPr>
          <t xml:space="preserve">
Vốn năm 2021: 431
</t>
        </r>
      </text>
    </comment>
    <comment ref="N284" authorId="2">
      <text>
        <r>
          <rPr>
            <b/>
            <sz val="9"/>
            <color indexed="81"/>
            <rFont val="Tahoma"/>
            <family val="2"/>
          </rPr>
          <t>Administrator:</t>
        </r>
        <r>
          <rPr>
            <sz val="9"/>
            <color indexed="81"/>
            <rFont val="Tahoma"/>
            <family val="2"/>
          </rPr>
          <t xml:space="preserve">
Vốn năm 2022: 2.000
Vốn năm 2023: 3.481</t>
        </r>
      </text>
    </comment>
    <comment ref="N285" authorId="2">
      <text>
        <r>
          <rPr>
            <b/>
            <sz val="9"/>
            <color indexed="81"/>
            <rFont val="Tahoma"/>
            <family val="2"/>
          </rPr>
          <t>Administrator:</t>
        </r>
        <r>
          <rPr>
            <sz val="9"/>
            <color indexed="81"/>
            <rFont val="Tahoma"/>
            <family val="2"/>
          </rPr>
          <t xml:space="preserve">
Vốn năm 2022: 1.502
Vốn năm 2023: 1.884</t>
        </r>
      </text>
    </comment>
    <comment ref="N286" authorId="2">
      <text>
        <r>
          <rPr>
            <b/>
            <sz val="9"/>
            <color indexed="81"/>
            <rFont val="Tahoma"/>
            <family val="2"/>
          </rPr>
          <t>Administrator:</t>
        </r>
        <r>
          <rPr>
            <sz val="9"/>
            <color indexed="81"/>
            <rFont val="Tahoma"/>
            <family val="2"/>
          </rPr>
          <t xml:space="preserve">
Vốn năm 2022: 2.117
Vốn năm 2023: 3.360</t>
        </r>
      </text>
    </comment>
    <comment ref="N287" authorId="2">
      <text>
        <r>
          <rPr>
            <b/>
            <sz val="9"/>
            <color indexed="81"/>
            <rFont val="Tahoma"/>
            <family val="2"/>
          </rPr>
          <t>Administrator:</t>
        </r>
        <r>
          <rPr>
            <sz val="9"/>
            <color indexed="81"/>
            <rFont val="Tahoma"/>
            <family val="2"/>
          </rPr>
          <t xml:space="preserve">
Vốn năm 2022: 1.900
</t>
        </r>
      </text>
    </comment>
    <comment ref="I288" authorId="1">
      <text>
        <r>
          <rPr>
            <b/>
            <sz val="9"/>
            <color indexed="81"/>
            <rFont val="Tahoma"/>
            <family val="2"/>
          </rPr>
          <t>ICT:</t>
        </r>
        <r>
          <rPr>
            <sz val="9"/>
            <color indexed="81"/>
            <rFont val="Tahoma"/>
            <family val="2"/>
          </rPr>
          <t xml:space="preserve">
Theo QĐ 315, thời gian thực hiện dự án 2022-2024</t>
        </r>
      </text>
    </comment>
    <comment ref="N288" authorId="3">
      <text>
        <r>
          <rPr>
            <b/>
            <sz val="9"/>
            <color indexed="81"/>
            <rFont val="Tahoma"/>
            <family val="2"/>
          </rPr>
          <t>ismail - [2010]:</t>
        </r>
        <r>
          <rPr>
            <sz val="9"/>
            <color indexed="81"/>
            <rFont val="Tahoma"/>
            <family val="2"/>
          </rPr>
          <t xml:space="preserve">
Vốn năm 2021: 
Vốn năm 2022:
Vốn năm 2023: 
Vốn năm 2024: 5.000</t>
        </r>
      </text>
    </comment>
    <comment ref="N289" authorId="3">
      <text>
        <r>
          <rPr>
            <b/>
            <sz val="9"/>
            <color indexed="81"/>
            <rFont val="Tahoma"/>
            <family val="2"/>
          </rPr>
          <t>ismail - [2010]:</t>
        </r>
        <r>
          <rPr>
            <sz val="9"/>
            <color indexed="81"/>
            <rFont val="Tahoma"/>
            <family val="2"/>
          </rPr>
          <t xml:space="preserve">
Vốn năm 2021: 
Vốn năm 2022:
Vốn năm 2023: 
Vốn năm 2024: 6.905</t>
        </r>
      </text>
    </comment>
    <comment ref="N290" authorId="3">
      <text>
        <r>
          <rPr>
            <sz val="9"/>
            <color indexed="81"/>
            <rFont val="Tahoma"/>
            <family val="2"/>
          </rPr>
          <t xml:space="preserve">
Vốn năm 2024: 2.450</t>
        </r>
      </text>
    </comment>
    <comment ref="N299" authorId="0">
      <text>
        <r>
          <rPr>
            <sz val="14"/>
            <color indexed="81"/>
            <rFont val="Tahoma"/>
            <family val="2"/>
          </rPr>
          <t>Năm 2023: 20
Năm 2024: 4.000</t>
        </r>
      </text>
    </comment>
  </commentList>
</comments>
</file>

<file path=xl/comments2.xml><?xml version="1.0" encoding="utf-8"?>
<comments xmlns="http://schemas.openxmlformats.org/spreadsheetml/2006/main">
  <authors>
    <author>admin</author>
    <author>ICT</author>
    <author>ismail - [2010]</author>
    <author>HP</author>
    <author>Administrator</author>
  </authors>
  <commentList>
    <comment ref="M15" authorId="0">
      <text>
        <r>
          <rPr>
            <sz val="9"/>
            <color indexed="81"/>
            <rFont val="Tahoma"/>
            <family val="2"/>
          </rPr>
          <t xml:space="preserve">Năm 2024: 2.000
</t>
        </r>
      </text>
    </comment>
    <comment ref="M26" authorId="0">
      <text>
        <r>
          <rPr>
            <b/>
            <sz val="9"/>
            <color indexed="81"/>
            <rFont val="Tahoma"/>
            <family val="2"/>
          </rPr>
          <t xml:space="preserve">Năm 2024: 1.400
</t>
        </r>
      </text>
    </comment>
    <comment ref="M30" authorId="0">
      <text>
        <r>
          <rPr>
            <b/>
            <sz val="9"/>
            <color indexed="81"/>
            <rFont val="Tahoma"/>
            <family val="2"/>
          </rPr>
          <t xml:space="preserve">Năm 2024: 1.200
</t>
        </r>
        <r>
          <rPr>
            <sz val="9"/>
            <color indexed="81"/>
            <rFont val="Tahoma"/>
            <family val="2"/>
          </rPr>
          <t xml:space="preserve">
</t>
        </r>
      </text>
    </comment>
    <comment ref="M41" authorId="1">
      <text>
        <r>
          <rPr>
            <b/>
            <sz val="9"/>
            <color indexed="81"/>
            <rFont val="Tahoma"/>
            <family val="2"/>
          </rPr>
          <t>ICT:</t>
        </r>
        <r>
          <rPr>
            <sz val="9"/>
            <color indexed="81"/>
            <rFont val="Tahoma"/>
            <family val="2"/>
          </rPr>
          <t xml:space="preserve">
Năm 2022: 9.000
Năm 2023: 13.785
Năm 2024: 10.329</t>
        </r>
      </text>
    </comment>
    <comment ref="L42" authorId="2">
      <text>
        <r>
          <rPr>
            <b/>
            <sz val="9"/>
            <color indexed="81"/>
            <rFont val="Tahoma"/>
            <family val="2"/>
          </rPr>
          <t>ismail - [2010]:</t>
        </r>
        <r>
          <rPr>
            <sz val="9"/>
            <color indexed="81"/>
            <rFont val="Tahoma"/>
            <family val="2"/>
          </rPr>
          <t xml:space="preserve">
</t>
        </r>
      </text>
    </comment>
    <comment ref="M42" authorId="2">
      <text>
        <r>
          <rPr>
            <b/>
            <sz val="12"/>
            <color indexed="81"/>
            <rFont val="Tahoma"/>
            <family val="2"/>
          </rPr>
          <t>ismail - [2010]:</t>
        </r>
        <r>
          <rPr>
            <sz val="12"/>
            <color indexed="81"/>
            <rFont val="Tahoma"/>
            <family val="2"/>
          </rPr>
          <t xml:space="preserve">
2022: 2.300 triệu 
2023: 3.922 triệu đồng
Năm 2024: 4.243 triệu đồng.
Lũy kế bố trí đến 2024: 10.465 triệu đồng</t>
        </r>
      </text>
    </comment>
    <comment ref="M43" authorId="0">
      <text>
        <r>
          <rPr>
            <sz val="14"/>
            <color indexed="81"/>
            <rFont val="Tahoma"/>
            <family val="2"/>
          </rPr>
          <t>Năm 2022: 5.590
Năm 2023: 3.517
Năm 2024: 4.293
Điều chỉnh KHV 2024 giảm</t>
        </r>
        <r>
          <rPr>
            <sz val="9"/>
            <color indexed="81"/>
            <rFont val="Tahoma"/>
            <family val="2"/>
          </rPr>
          <t xml:space="preserve">
</t>
        </r>
      </text>
    </comment>
    <comment ref="M44" authorId="1">
      <text>
        <r>
          <rPr>
            <sz val="14"/>
            <color indexed="81"/>
            <rFont val="Tahoma"/>
            <family val="2"/>
          </rPr>
          <t>Năm 2022: 4.100
Năm 2023: 3.900
Năm 2024: 4.912 
điều chỉnh giảm 864 còn lại 4.048</t>
        </r>
      </text>
    </comment>
    <comment ref="M45" authorId="0">
      <text>
        <r>
          <rPr>
            <sz val="14"/>
            <color indexed="81"/>
            <rFont val="Tahoma"/>
            <family val="2"/>
          </rPr>
          <t>Năm 2022: 2.870
Năm 2023: 3.025</t>
        </r>
        <r>
          <rPr>
            <sz val="9"/>
            <color indexed="81"/>
            <rFont val="Tahoma"/>
            <family val="2"/>
          </rPr>
          <t xml:space="preserve">
</t>
        </r>
      </text>
    </comment>
    <comment ref="M46" authorId="0">
      <text>
        <r>
          <rPr>
            <sz val="14"/>
            <color indexed="81"/>
            <rFont val="Tahoma"/>
            <family val="2"/>
          </rPr>
          <t>Năm 2023: 1868</t>
        </r>
      </text>
    </comment>
    <comment ref="M47" authorId="0">
      <text>
        <r>
          <rPr>
            <sz val="14"/>
            <color indexed="81"/>
            <rFont val="Tahoma"/>
            <family val="2"/>
          </rPr>
          <t xml:space="preserve">Năm 2022: 1.300
Năm 2023: 1.100
</t>
        </r>
      </text>
    </comment>
    <comment ref="M48" authorId="0">
      <text>
        <r>
          <rPr>
            <sz val="14"/>
            <color indexed="81"/>
            <rFont val="Tahoma"/>
            <family val="2"/>
          </rPr>
          <t>Năm 2022: 840
Năm 2023: 319</t>
        </r>
      </text>
    </comment>
    <comment ref="M49" authorId="0">
      <text>
        <r>
          <rPr>
            <sz val="14"/>
            <color indexed="81"/>
            <rFont val="Tahoma"/>
            <family val="2"/>
          </rPr>
          <t xml:space="preserve">Năm 2023: 2.088
</t>
        </r>
      </text>
    </comment>
    <comment ref="J50" authorId="2">
      <text>
        <r>
          <rPr>
            <b/>
            <sz val="9"/>
            <color indexed="81"/>
            <rFont val="Tahoma"/>
            <family val="2"/>
          </rPr>
          <t>ismail - [2010]:</t>
        </r>
        <r>
          <rPr>
            <sz val="9"/>
            <color indexed="81"/>
            <rFont val="Tahoma"/>
            <family val="2"/>
          </rPr>
          <t xml:space="preserve">
Giảm TMĐT theo QĐ</t>
        </r>
      </text>
    </comment>
    <comment ref="M50" authorId="0">
      <text>
        <r>
          <rPr>
            <sz val="14"/>
            <color indexed="81"/>
            <rFont val="Tahoma"/>
            <family val="2"/>
          </rPr>
          <t>Năm 2024: 500</t>
        </r>
        <r>
          <rPr>
            <sz val="9"/>
            <color indexed="81"/>
            <rFont val="Tahoma"/>
            <family val="2"/>
          </rPr>
          <t xml:space="preserve">
</t>
        </r>
      </text>
    </comment>
    <comment ref="J51" authorId="2">
      <text>
        <r>
          <rPr>
            <b/>
            <sz val="9"/>
            <color indexed="81"/>
            <rFont val="Tahoma"/>
            <family val="2"/>
          </rPr>
          <t>ismail - [2010]:</t>
        </r>
        <r>
          <rPr>
            <sz val="9"/>
            <color indexed="81"/>
            <rFont val="Tahoma"/>
            <family val="2"/>
          </rPr>
          <t xml:space="preserve">
Giảm TMĐT</t>
        </r>
      </text>
    </comment>
    <comment ref="M53" authorId="1">
      <text>
        <r>
          <rPr>
            <sz val="14"/>
            <color indexed="81"/>
            <rFont val="Tahoma"/>
            <family val="2"/>
          </rPr>
          <t>Năm 2024: 1.621. 
Điều chỉnh tăng 500 triệu theo NQ 11 ( 6 tháng đầu năm 2024)=2.121</t>
        </r>
      </text>
    </comment>
    <comment ref="J54" authorId="2">
      <text>
        <r>
          <rPr>
            <b/>
            <sz val="9"/>
            <color indexed="81"/>
            <rFont val="Tahoma"/>
            <family val="2"/>
          </rPr>
          <t>ismail - [2010]:</t>
        </r>
        <r>
          <rPr>
            <sz val="9"/>
            <color indexed="81"/>
            <rFont val="Tahoma"/>
            <family val="2"/>
          </rPr>
          <t xml:space="preserve">
Giảm TMĐT
</t>
        </r>
      </text>
    </comment>
    <comment ref="M54" authorId="1">
      <text>
        <r>
          <rPr>
            <sz val="14"/>
            <color indexed="81"/>
            <rFont val="Tahoma"/>
            <family val="2"/>
          </rPr>
          <t>Năm 2024: 2.000
Điều chỉnh tăng 500 triệu theo NQ 11 ( 6 tháng đầu năm 2024) =2.500</t>
        </r>
      </text>
    </comment>
    <comment ref="M59" authorId="1">
      <text>
        <r>
          <rPr>
            <b/>
            <sz val="9"/>
            <color indexed="81"/>
            <rFont val="Tahoma"/>
            <family val="2"/>
          </rPr>
          <t>ICT:</t>
        </r>
        <r>
          <rPr>
            <sz val="9"/>
            <color indexed="81"/>
            <rFont val="Tahoma"/>
            <family val="2"/>
          </rPr>
          <t xml:space="preserve">
Năm 2022: 4.000 triệu đồng
Năm 2023: 3.384 triệu đồng
Năm 2024 bố trí  3.386 điều chỉnh giảm 435 còn lại 1.847
</t>
        </r>
      </text>
    </comment>
    <comment ref="J60" authorId="1">
      <text>
        <r>
          <rPr>
            <b/>
            <sz val="9"/>
            <color indexed="81"/>
            <rFont val="Tahoma"/>
            <family val="2"/>
          </rPr>
          <t>ICT:</t>
        </r>
        <r>
          <rPr>
            <sz val="9"/>
            <color indexed="81"/>
            <rFont val="Tahoma"/>
            <family val="2"/>
          </rPr>
          <t xml:space="preserve">
Điều chỉnh tổng mức đầu tư theo QĐ 494</t>
        </r>
      </text>
    </comment>
    <comment ref="M60" authorId="1">
      <text>
        <r>
          <rPr>
            <b/>
            <sz val="9"/>
            <color indexed="81"/>
            <rFont val="Tahoma"/>
            <family val="2"/>
          </rPr>
          <t>ICT:</t>
        </r>
        <r>
          <rPr>
            <sz val="9"/>
            <color indexed="81"/>
            <rFont val="Tahoma"/>
            <family val="2"/>
          </rPr>
          <t xml:space="preserve">
Năm 2021: 1.200 triệu đồng;
Năm 2023: 2.522 triệu đồng</t>
        </r>
      </text>
    </comment>
    <comment ref="M61" authorId="3">
      <text>
        <r>
          <rPr>
            <b/>
            <sz val="9"/>
            <color indexed="81"/>
            <rFont val="Tahoma"/>
            <family val="2"/>
          </rPr>
          <t>HP:</t>
        </r>
        <r>
          <rPr>
            <sz val="9"/>
            <color indexed="81"/>
            <rFont val="Tahoma"/>
            <family val="2"/>
          </rPr>
          <t xml:space="preserve">
Năm 2022: 3200
Năm 2023: 1800
Năm 2024: 33</t>
        </r>
      </text>
    </comment>
    <comment ref="M62" authorId="3">
      <text>
        <r>
          <rPr>
            <b/>
            <sz val="9"/>
            <color indexed="81"/>
            <rFont val="Tahoma"/>
            <family val="2"/>
          </rPr>
          <t>HP:</t>
        </r>
        <r>
          <rPr>
            <sz val="9"/>
            <color indexed="81"/>
            <rFont val="Tahoma"/>
            <family val="2"/>
          </rPr>
          <t xml:space="preserve">
Năm 2022: 3000
Năm 2023: 2076</t>
        </r>
      </text>
    </comment>
    <comment ref="M63" authorId="3">
      <text>
        <r>
          <rPr>
            <b/>
            <sz val="9"/>
            <color indexed="81"/>
            <rFont val="Tahoma"/>
            <family val="2"/>
          </rPr>
          <t>HP:</t>
        </r>
        <r>
          <rPr>
            <sz val="9"/>
            <color indexed="81"/>
            <rFont val="Tahoma"/>
            <family val="2"/>
          </rPr>
          <t xml:space="preserve">
Năm 2022: 116</t>
        </r>
      </text>
    </comment>
    <comment ref="M64" authorId="3">
      <text>
        <r>
          <rPr>
            <b/>
            <sz val="9"/>
            <color indexed="81"/>
            <rFont val="Tahoma"/>
            <family val="2"/>
          </rPr>
          <t>HP:</t>
        </r>
        <r>
          <rPr>
            <sz val="9"/>
            <color indexed="81"/>
            <rFont val="Tahoma"/>
            <family val="2"/>
          </rPr>
          <t xml:space="preserve">
Năm 2022: 700
Năm 2023: 1046</t>
        </r>
      </text>
    </comment>
    <comment ref="M65" authorId="3">
      <text>
        <r>
          <rPr>
            <b/>
            <sz val="9"/>
            <color indexed="81"/>
            <rFont val="Tahoma"/>
            <family val="2"/>
          </rPr>
          <t>HP:</t>
        </r>
        <r>
          <rPr>
            <sz val="9"/>
            <color indexed="81"/>
            <rFont val="Tahoma"/>
            <family val="2"/>
          </rPr>
          <t xml:space="preserve">
Năm 2022: 2100
Năm 2023: 1950
Năm 2024: 93</t>
        </r>
      </text>
    </comment>
    <comment ref="M66" authorId="3">
      <text>
        <r>
          <rPr>
            <b/>
            <sz val="9"/>
            <color indexed="81"/>
            <rFont val="Tahoma"/>
            <family val="2"/>
          </rPr>
          <t>HP:</t>
        </r>
        <r>
          <rPr>
            <sz val="9"/>
            <color indexed="81"/>
            <rFont val="Tahoma"/>
            <family val="2"/>
          </rPr>
          <t xml:space="preserve">
Năm 2022: 1400
Năm 2023: 317</t>
        </r>
      </text>
    </comment>
    <comment ref="M67" authorId="3">
      <text>
        <r>
          <rPr>
            <b/>
            <sz val="9"/>
            <color indexed="81"/>
            <rFont val="Tahoma"/>
            <family val="2"/>
          </rPr>
          <t>HP:</t>
        </r>
        <r>
          <rPr>
            <sz val="9"/>
            <color indexed="81"/>
            <rFont val="Tahoma"/>
            <family val="2"/>
          </rPr>
          <t xml:space="preserve">
Năm 2022: 4800
Năm 2023: 2800
Năm 2024: 2645</t>
        </r>
      </text>
    </comment>
    <comment ref="M68" authorId="3">
      <text>
        <r>
          <rPr>
            <b/>
            <sz val="9"/>
            <color indexed="81"/>
            <rFont val="Tahoma"/>
            <family val="2"/>
          </rPr>
          <t>HP:</t>
        </r>
        <r>
          <rPr>
            <sz val="9"/>
            <color indexed="81"/>
            <rFont val="Tahoma"/>
            <family val="2"/>
          </rPr>
          <t xml:space="preserve">
Năm 2022: 5700
Năm 2023: 2000
Năm 2024: 5154</t>
        </r>
      </text>
    </comment>
    <comment ref="M69" authorId="3">
      <text>
        <r>
          <rPr>
            <b/>
            <sz val="9"/>
            <color indexed="81"/>
            <rFont val="Tahoma"/>
            <family val="2"/>
          </rPr>
          <t>HP:</t>
        </r>
        <r>
          <rPr>
            <sz val="9"/>
            <color indexed="81"/>
            <rFont val="Tahoma"/>
            <family val="2"/>
          </rPr>
          <t xml:space="preserve">
Năm 2023: 5000</t>
        </r>
      </text>
    </comment>
    <comment ref="M71" authorId="3">
      <text>
        <r>
          <rPr>
            <b/>
            <sz val="9"/>
            <color indexed="81"/>
            <rFont val="Tahoma"/>
            <family val="2"/>
          </rPr>
          <t>HP:</t>
        </r>
        <r>
          <rPr>
            <sz val="9"/>
            <color indexed="81"/>
            <rFont val="Tahoma"/>
            <family val="2"/>
          </rPr>
          <t xml:space="preserve">
Năm 2023: 1340</t>
        </r>
      </text>
    </comment>
    <comment ref="M72" authorId="3">
      <text>
        <r>
          <rPr>
            <b/>
            <sz val="9"/>
            <color indexed="81"/>
            <rFont val="Tahoma"/>
            <family val="2"/>
          </rPr>
          <t>HP:</t>
        </r>
        <r>
          <rPr>
            <sz val="9"/>
            <color indexed="81"/>
            <rFont val="Tahoma"/>
            <family val="2"/>
          </rPr>
          <t xml:space="preserve">
Năm 2024: 2800</t>
        </r>
      </text>
    </comment>
    <comment ref="M73" authorId="3">
      <text>
        <r>
          <rPr>
            <b/>
            <sz val="9"/>
            <color indexed="81"/>
            <rFont val="Tahoma"/>
            <family val="2"/>
          </rPr>
          <t>HP:</t>
        </r>
        <r>
          <rPr>
            <sz val="9"/>
            <color indexed="81"/>
            <rFont val="Tahoma"/>
            <family val="2"/>
          </rPr>
          <t xml:space="preserve">
Năm 2024: 2400</t>
        </r>
      </text>
    </comment>
    <comment ref="M74" authorId="1">
      <text>
        <r>
          <rPr>
            <b/>
            <sz val="9"/>
            <color indexed="81"/>
            <rFont val="Tahoma"/>
            <family val="2"/>
          </rPr>
          <t>ICT:</t>
        </r>
        <r>
          <rPr>
            <sz val="9"/>
            <color indexed="81"/>
            <rFont val="Tahoma"/>
            <family val="2"/>
          </rPr>
          <t xml:space="preserve">
Năm 2024: 3.679. Trong đó:
- Năm 2024 tăng 500 triệu theo điều chỉnh NQ 11 ( 6 tháng đầu năm)= 1.520;
Bổ sung 2.159 triệu tư huyện Ba Tri</t>
        </r>
      </text>
    </comment>
    <comment ref="M75" authorId="3">
      <text>
        <r>
          <rPr>
            <b/>
            <sz val="9"/>
            <color indexed="81"/>
            <rFont val="Tahoma"/>
            <family val="2"/>
          </rPr>
          <t>HP:</t>
        </r>
        <r>
          <rPr>
            <sz val="9"/>
            <color indexed="81"/>
            <rFont val="Tahoma"/>
            <family val="2"/>
          </rPr>
          <t xml:space="preserve">
Năm 2024: 2100</t>
        </r>
      </text>
    </comment>
    <comment ref="J76" authorId="1">
      <text>
        <r>
          <rPr>
            <b/>
            <sz val="9"/>
            <color indexed="81"/>
            <rFont val="Tahoma"/>
            <family val="2"/>
          </rPr>
          <t>ICT:</t>
        </r>
        <r>
          <rPr>
            <sz val="9"/>
            <color indexed="81"/>
            <rFont val="Tahoma"/>
            <family val="2"/>
          </rPr>
          <t xml:space="preserve">
Đã cập nhật tổng mức đầu tư và NSTWW</t>
        </r>
      </text>
    </comment>
    <comment ref="M76" authorId="1">
      <text>
        <r>
          <rPr>
            <b/>
            <sz val="9"/>
            <color indexed="81"/>
            <rFont val="Tahoma"/>
            <family val="2"/>
          </rPr>
          <t>ICT:</t>
        </r>
        <r>
          <rPr>
            <sz val="9"/>
            <color indexed="81"/>
            <rFont val="Tahoma"/>
            <family val="2"/>
          </rPr>
          <t xml:space="preserve">
Năm 2024: 3.000 triệu đòng (Tăng 500 triệu theo điều chỉnh NQ 11 ( 6 tháng đầu năm)</t>
        </r>
      </text>
    </comment>
    <comment ref="M77" authorId="3">
      <text>
        <r>
          <rPr>
            <b/>
            <sz val="9"/>
            <color indexed="81"/>
            <rFont val="Tahoma"/>
            <family val="2"/>
          </rPr>
          <t>HP:</t>
        </r>
        <r>
          <rPr>
            <sz val="9"/>
            <color indexed="81"/>
            <rFont val="Tahoma"/>
            <family val="2"/>
          </rPr>
          <t xml:space="preserve">
</t>
        </r>
        <r>
          <rPr>
            <sz val="14"/>
            <color indexed="81"/>
            <rFont val="Tahoma"/>
            <family val="2"/>
          </rPr>
          <t>Năm 2024: 1402, bổ sung thêm 1149 =2.551</t>
        </r>
      </text>
    </comment>
    <comment ref="M78" authorId="3">
      <text>
        <r>
          <rPr>
            <b/>
            <sz val="9"/>
            <color indexed="81"/>
            <rFont val="Tahoma"/>
            <family val="2"/>
          </rPr>
          <t>HP:</t>
        </r>
        <r>
          <rPr>
            <sz val="9"/>
            <color indexed="81"/>
            <rFont val="Tahoma"/>
            <family val="2"/>
          </rPr>
          <t xml:space="preserve">
Năm 2024: 4000</t>
        </r>
      </text>
    </comment>
    <comment ref="M79" authorId="1">
      <text>
        <r>
          <rPr>
            <b/>
            <sz val="9"/>
            <color indexed="81"/>
            <rFont val="Tahoma"/>
            <family val="2"/>
          </rPr>
          <t>ICT:</t>
        </r>
        <r>
          <rPr>
            <sz val="9"/>
            <color indexed="81"/>
            <rFont val="Tahoma"/>
            <family val="2"/>
          </rPr>
          <t xml:space="preserve">
Năm 2024:: 1.435</t>
        </r>
      </text>
    </comment>
    <comment ref="J81" authorId="1">
      <text>
        <r>
          <rPr>
            <b/>
            <sz val="9"/>
            <color indexed="81"/>
            <rFont val="Tahoma"/>
            <family val="2"/>
          </rPr>
          <t>ICT:</t>
        </r>
        <r>
          <rPr>
            <sz val="9"/>
            <color indexed="81"/>
            <rFont val="Tahoma"/>
            <family val="2"/>
          </rPr>
          <t xml:space="preserve">
Điều chỉnh giảm tổng mưc đầu tư còn 11.296 triệu đồng</t>
        </r>
      </text>
    </comment>
    <comment ref="M84" authorId="3">
      <text>
        <r>
          <rPr>
            <b/>
            <sz val="9"/>
            <color indexed="81"/>
            <rFont val="Tahoma"/>
            <family val="2"/>
          </rPr>
          <t>HP:</t>
        </r>
        <r>
          <rPr>
            <sz val="9"/>
            <color indexed="81"/>
            <rFont val="Tahoma"/>
            <family val="2"/>
          </rPr>
          <t xml:space="preserve">
Năm 2022: 2100
Năm 2023: 1870</t>
        </r>
      </text>
    </comment>
    <comment ref="M85" authorId="3">
      <text>
        <r>
          <rPr>
            <b/>
            <sz val="9"/>
            <color indexed="81"/>
            <rFont val="Tahoma"/>
            <family val="2"/>
          </rPr>
          <t>HP:</t>
        </r>
        <r>
          <rPr>
            <sz val="9"/>
            <color indexed="81"/>
            <rFont val="Tahoma"/>
            <family val="2"/>
          </rPr>
          <t xml:space="preserve">
Năm 2022: 1600
Năm 2023: 1270</t>
        </r>
      </text>
    </comment>
    <comment ref="M86" authorId="3">
      <text>
        <r>
          <rPr>
            <b/>
            <sz val="9"/>
            <color indexed="81"/>
            <rFont val="Tahoma"/>
            <family val="2"/>
          </rPr>
          <t>HP:</t>
        </r>
        <r>
          <rPr>
            <sz val="9"/>
            <color indexed="81"/>
            <rFont val="Tahoma"/>
            <family val="2"/>
          </rPr>
          <t xml:space="preserve">
Năm 2022: 2500
Năm 2023: 2119</t>
        </r>
      </text>
    </comment>
    <comment ref="M87" authorId="3">
      <text>
        <r>
          <rPr>
            <b/>
            <sz val="9"/>
            <color indexed="81"/>
            <rFont val="Tahoma"/>
            <family val="2"/>
          </rPr>
          <t>HP:</t>
        </r>
        <r>
          <rPr>
            <sz val="9"/>
            <color indexed="81"/>
            <rFont val="Tahoma"/>
            <family val="2"/>
          </rPr>
          <t xml:space="preserve">
Năm 2022: 660</t>
        </r>
      </text>
    </comment>
    <comment ref="M88" authorId="3">
      <text>
        <r>
          <rPr>
            <b/>
            <sz val="9"/>
            <color indexed="81"/>
            <rFont val="Tahoma"/>
            <family val="2"/>
          </rPr>
          <t>HP:</t>
        </r>
        <r>
          <rPr>
            <sz val="9"/>
            <color indexed="81"/>
            <rFont val="Tahoma"/>
            <family val="2"/>
          </rPr>
          <t xml:space="preserve">
Năm 2022: 1500
Năm 2023: 866</t>
        </r>
      </text>
    </comment>
    <comment ref="M89" authorId="1">
      <text>
        <r>
          <rPr>
            <b/>
            <sz val="9"/>
            <color indexed="81"/>
            <rFont val="Tahoma"/>
            <family val="2"/>
          </rPr>
          <t>ICT:</t>
        </r>
        <r>
          <rPr>
            <sz val="9"/>
            <color indexed="81"/>
            <rFont val="Tahoma"/>
            <family val="2"/>
          </rPr>
          <t xml:space="preserve">
Năm 2022: 3.500 triệu đồng
- Năm 2023: 8.486 triệu đồng
- Năm 2024: 1.200 triệu đồng </t>
        </r>
      </text>
    </comment>
    <comment ref="M90" authorId="3">
      <text>
        <r>
          <rPr>
            <b/>
            <sz val="9"/>
            <color indexed="81"/>
            <rFont val="Tahoma"/>
            <family val="2"/>
          </rPr>
          <t>HP:</t>
        </r>
        <r>
          <rPr>
            <sz val="9"/>
            <color indexed="81"/>
            <rFont val="Tahoma"/>
            <family val="2"/>
          </rPr>
          <t xml:space="preserve">
Năm 2022: 2500
Năm 2023: 389</t>
        </r>
      </text>
    </comment>
    <comment ref="M91" authorId="3">
      <text>
        <r>
          <rPr>
            <b/>
            <sz val="9"/>
            <color indexed="81"/>
            <rFont val="Tahoma"/>
            <family val="2"/>
          </rPr>
          <t>HP:</t>
        </r>
        <r>
          <rPr>
            <sz val="9"/>
            <color indexed="81"/>
            <rFont val="Tahoma"/>
            <family val="2"/>
          </rPr>
          <t xml:space="preserve">
Năm 2022: 2200
Năm 2023: 4996</t>
        </r>
      </text>
    </comment>
    <comment ref="M92" authorId="3">
      <text>
        <r>
          <rPr>
            <b/>
            <sz val="9"/>
            <color indexed="81"/>
            <rFont val="Tahoma"/>
            <family val="2"/>
          </rPr>
          <t>HP:</t>
        </r>
        <r>
          <rPr>
            <sz val="9"/>
            <color indexed="81"/>
            <rFont val="Tahoma"/>
            <family val="2"/>
          </rPr>
          <t xml:space="preserve">
Năm 2022: 1800
Năm 2023: 1363</t>
        </r>
      </text>
    </comment>
    <comment ref="I93" authorId="1">
      <text>
        <r>
          <rPr>
            <b/>
            <sz val="9"/>
            <color indexed="81"/>
            <rFont val="Tahoma"/>
            <family val="2"/>
          </rPr>
          <t>ICT:</t>
        </r>
        <r>
          <rPr>
            <sz val="9"/>
            <color indexed="81"/>
            <rFont val="Tahoma"/>
            <family val="2"/>
          </rPr>
          <t xml:space="preserve">
Đa cập nhật QĐ</t>
        </r>
      </text>
    </comment>
    <comment ref="M93" authorId="3">
      <text>
        <r>
          <rPr>
            <b/>
            <sz val="9"/>
            <color indexed="81"/>
            <rFont val="Tahoma"/>
            <family val="2"/>
          </rPr>
          <t>HP:</t>
        </r>
        <r>
          <rPr>
            <sz val="9"/>
            <color indexed="81"/>
            <rFont val="Tahoma"/>
            <family val="2"/>
          </rPr>
          <t xml:space="preserve">
Năm 2024: 3000</t>
        </r>
      </text>
    </comment>
    <comment ref="M94" authorId="3">
      <text>
        <r>
          <rPr>
            <b/>
            <sz val="9"/>
            <color indexed="81"/>
            <rFont val="Tahoma"/>
            <family val="2"/>
          </rPr>
          <t>HP:</t>
        </r>
        <r>
          <rPr>
            <sz val="9"/>
            <color indexed="81"/>
            <rFont val="Tahoma"/>
            <family val="2"/>
          </rPr>
          <t xml:space="preserve">
Năm 2024: 2000</t>
        </r>
      </text>
    </comment>
    <comment ref="M97" authorId="1">
      <text>
        <r>
          <rPr>
            <b/>
            <sz val="9"/>
            <color indexed="81"/>
            <rFont val="Tahoma"/>
            <family val="2"/>
          </rPr>
          <t>ICT:</t>
        </r>
        <r>
          <rPr>
            <sz val="9"/>
            <color indexed="81"/>
            <rFont val="Tahoma"/>
            <family val="2"/>
          </rPr>
          <t xml:space="preserve">
Năm 2022: 1.750 triệu đồng
- Năm 2023: 2.000 triệu đồng
- Năm 2024: 956 triệu đồng (Năm 2024 bố trí 1.740 triệu đồng giảm784 triệu đồng còn 956 triệu đồng</t>
        </r>
      </text>
    </comment>
    <comment ref="K98" authorId="1">
      <text>
        <r>
          <rPr>
            <b/>
            <sz val="9"/>
            <color indexed="81"/>
            <rFont val="Tahoma"/>
            <family val="2"/>
          </rPr>
          <t>ICT:</t>
        </r>
        <r>
          <rPr>
            <sz val="9"/>
            <color indexed="81"/>
            <rFont val="Tahoma"/>
            <family val="2"/>
          </rPr>
          <t xml:space="preserve">
cơ cấu theo NQ 05</t>
        </r>
      </text>
    </comment>
    <comment ref="M98" authorId="1">
      <text>
        <r>
          <rPr>
            <b/>
            <sz val="9"/>
            <color indexed="81"/>
            <rFont val="Tahoma"/>
            <family val="2"/>
          </rPr>
          <t>ICT:</t>
        </r>
        <r>
          <rPr>
            <sz val="9"/>
            <color indexed="81"/>
            <rFont val="Tahoma"/>
            <family val="2"/>
          </rPr>
          <t xml:space="preserve">
- Năm 2022: 2.050 triệu đồng
- Năm 2023: 4.074 triệu đồng
- Năm 2024:34 triệu đồng (Năm 2024 bố trí1.065 triệu đồng giảm 1.022 triệu đồng còn 34 triệu đồng</t>
        </r>
      </text>
    </comment>
    <comment ref="M99" authorId="3">
      <text>
        <r>
          <rPr>
            <b/>
            <sz val="9"/>
            <color indexed="81"/>
            <rFont val="Tahoma"/>
            <family val="2"/>
          </rPr>
          <t>HP:</t>
        </r>
        <r>
          <rPr>
            <sz val="9"/>
            <color indexed="81"/>
            <rFont val="Tahoma"/>
            <family val="2"/>
          </rPr>
          <t xml:space="preserve">
Năm 2022: 500
Năm 2023: 911</t>
        </r>
      </text>
    </comment>
    <comment ref="M100" authorId="3">
      <text>
        <r>
          <rPr>
            <b/>
            <sz val="9"/>
            <color indexed="81"/>
            <rFont val="Tahoma"/>
            <family val="2"/>
          </rPr>
          <t>HP:</t>
        </r>
        <r>
          <rPr>
            <sz val="9"/>
            <color indexed="81"/>
            <rFont val="Tahoma"/>
            <family val="2"/>
          </rPr>
          <t xml:space="preserve">
Năm 2022: 500
Năm 2023: 268</t>
        </r>
      </text>
    </comment>
    <comment ref="M101" authorId="3">
      <text>
        <r>
          <rPr>
            <b/>
            <sz val="9"/>
            <color indexed="81"/>
            <rFont val="Tahoma"/>
            <family val="2"/>
          </rPr>
          <t>HP:</t>
        </r>
        <r>
          <rPr>
            <sz val="9"/>
            <color indexed="81"/>
            <rFont val="Tahoma"/>
            <family val="2"/>
          </rPr>
          <t xml:space="preserve">
Năm 2022: 1000
Năm 2023: 1638</t>
        </r>
      </text>
    </comment>
    <comment ref="M102" authorId="1">
      <text>
        <r>
          <rPr>
            <b/>
            <sz val="9"/>
            <color indexed="81"/>
            <rFont val="Tahoma"/>
            <family val="2"/>
          </rPr>
          <t>ICT:</t>
        </r>
        <r>
          <rPr>
            <sz val="9"/>
            <color indexed="81"/>
            <rFont val="Tahoma"/>
            <family val="2"/>
          </rPr>
          <t xml:space="preserve">
- Năm 2022: 4.800 triệu đồng
- Năm 2023:: 1.429 triệu đồng
- Năm 2024:37 triệu đồng (Năm 2024 bố trí 1765 triệu đồng giảm 728 triệu đồng còn 37 triệu đồng</t>
        </r>
      </text>
    </comment>
    <comment ref="M103" authorId="3">
      <text>
        <r>
          <rPr>
            <b/>
            <sz val="9"/>
            <color indexed="81"/>
            <rFont val="Tahoma"/>
            <family val="2"/>
          </rPr>
          <t>HP:</t>
        </r>
        <r>
          <rPr>
            <sz val="9"/>
            <color indexed="81"/>
            <rFont val="Tahoma"/>
            <family val="2"/>
          </rPr>
          <t xml:space="preserve">
Năm 2022: 959</t>
        </r>
      </text>
    </comment>
    <comment ref="M104" authorId="1">
      <text>
        <r>
          <rPr>
            <b/>
            <sz val="9"/>
            <color indexed="81"/>
            <rFont val="Tahoma"/>
            <family val="2"/>
          </rPr>
          <t>ICT:</t>
        </r>
        <r>
          <rPr>
            <sz val="9"/>
            <color indexed="81"/>
            <rFont val="Tahoma"/>
            <family val="2"/>
          </rPr>
          <t xml:space="preserve">
- Năm 2022: 4.100 triệu đồng
- Năm 2023:: 3.430 triệu đồng
- Năm 2024: 2.383:  triệu đồng (Năm 2024 bố trí 3.900 triệu đồng giảm 1.517 triệu đồng còn 2.383 triệu đồng</t>
        </r>
      </text>
    </comment>
    <comment ref="M105" authorId="3">
      <text>
        <r>
          <rPr>
            <b/>
            <sz val="9"/>
            <color indexed="81"/>
            <rFont val="Tahoma"/>
            <family val="2"/>
          </rPr>
          <t>HP:</t>
        </r>
        <r>
          <rPr>
            <sz val="9"/>
            <color indexed="81"/>
            <rFont val="Tahoma"/>
            <family val="2"/>
          </rPr>
          <t xml:space="preserve">
Năm 2022: 3200
Năm 2023: 1707</t>
        </r>
      </text>
    </comment>
    <comment ref="M106" authorId="3">
      <text>
        <r>
          <rPr>
            <b/>
            <sz val="9"/>
            <color indexed="81"/>
            <rFont val="Tahoma"/>
            <family val="2"/>
          </rPr>
          <t>HP:</t>
        </r>
        <r>
          <rPr>
            <sz val="9"/>
            <color indexed="81"/>
            <rFont val="Tahoma"/>
            <family val="2"/>
          </rPr>
          <t xml:space="preserve">
Năm 2022: 1200</t>
        </r>
      </text>
    </comment>
    <comment ref="M107" authorId="3">
      <text>
        <r>
          <rPr>
            <b/>
            <sz val="9"/>
            <color indexed="81"/>
            <rFont val="Tahoma"/>
            <family val="2"/>
          </rPr>
          <t>HP:</t>
        </r>
        <r>
          <rPr>
            <sz val="9"/>
            <color indexed="81"/>
            <rFont val="Tahoma"/>
            <family val="2"/>
          </rPr>
          <t xml:space="preserve">
Năm 2022: 1200
Năm 2023: 1600</t>
        </r>
      </text>
    </comment>
    <comment ref="M108" authorId="3">
      <text>
        <r>
          <rPr>
            <b/>
            <sz val="9"/>
            <color indexed="81"/>
            <rFont val="Tahoma"/>
            <family val="2"/>
          </rPr>
          <t>HP:</t>
        </r>
        <r>
          <rPr>
            <sz val="9"/>
            <color indexed="81"/>
            <rFont val="Tahoma"/>
            <family val="2"/>
          </rPr>
          <t xml:space="preserve">
Năm 2022: 2600
Năm 2023: 995</t>
        </r>
      </text>
    </comment>
    <comment ref="M109" authorId="1">
      <text>
        <r>
          <rPr>
            <b/>
            <sz val="9"/>
            <color indexed="81"/>
            <rFont val="Tahoma"/>
            <family val="2"/>
          </rPr>
          <t>ICT:</t>
        </r>
        <r>
          <rPr>
            <sz val="9"/>
            <color indexed="81"/>
            <rFont val="Tahoma"/>
            <family val="2"/>
          </rPr>
          <t xml:space="preserve">
</t>
        </r>
        <r>
          <rPr>
            <sz val="12"/>
            <color indexed="81"/>
            <rFont val="Tahoma"/>
            <family val="2"/>
          </rPr>
          <t>- Năm 2022: 2.000 triệu đồng
- Năm 2023:: 3,508 triệu đồng
- Năm 2024:487:  triệu đồng (Năm 2024 bố trí 1.950 triệu đồng giảm 1.463 triệu đồng còn 487 triệu đồng</t>
        </r>
      </text>
    </comment>
    <comment ref="M110" authorId="3">
      <text>
        <r>
          <rPr>
            <b/>
            <sz val="9"/>
            <color indexed="81"/>
            <rFont val="Tahoma"/>
            <family val="2"/>
          </rPr>
          <t>HP:</t>
        </r>
        <r>
          <rPr>
            <sz val="9"/>
            <color indexed="81"/>
            <rFont val="Tahoma"/>
            <family val="2"/>
          </rPr>
          <t xml:space="preserve">
Năm 2022: 1400
Năm 2023: 1578</t>
        </r>
      </text>
    </comment>
    <comment ref="M111" authorId="3">
      <text>
        <r>
          <rPr>
            <b/>
            <sz val="9"/>
            <color indexed="81"/>
            <rFont val="Tahoma"/>
            <family val="2"/>
          </rPr>
          <t>HP:</t>
        </r>
        <r>
          <rPr>
            <sz val="9"/>
            <color indexed="81"/>
            <rFont val="Tahoma"/>
            <family val="2"/>
          </rPr>
          <t xml:space="preserve">
Năm 2022: 2529
Năm 2023: 1650</t>
        </r>
      </text>
    </comment>
    <comment ref="M112" authorId="3">
      <text>
        <r>
          <rPr>
            <b/>
            <sz val="9"/>
            <color indexed="81"/>
            <rFont val="Tahoma"/>
            <family val="2"/>
          </rPr>
          <t>HP:</t>
        </r>
        <r>
          <rPr>
            <sz val="9"/>
            <color indexed="81"/>
            <rFont val="Tahoma"/>
            <family val="2"/>
          </rPr>
          <t xml:space="preserve">
Năm 2022: 800
Năm 2023: 620</t>
        </r>
      </text>
    </comment>
    <comment ref="M113" authorId="3">
      <text>
        <r>
          <rPr>
            <b/>
            <sz val="9"/>
            <color indexed="81"/>
            <rFont val="Tahoma"/>
            <family val="2"/>
          </rPr>
          <t>HP:</t>
        </r>
        <r>
          <rPr>
            <sz val="9"/>
            <color indexed="81"/>
            <rFont val="Tahoma"/>
            <family val="2"/>
          </rPr>
          <t xml:space="preserve">
Năm 2022: 3000
Năm 2023: 5469</t>
        </r>
      </text>
    </comment>
    <comment ref="M114" authorId="1">
      <text>
        <r>
          <rPr>
            <b/>
            <sz val="9"/>
            <color indexed="81"/>
            <rFont val="Tahoma"/>
            <family val="2"/>
          </rPr>
          <t>ICT:</t>
        </r>
        <r>
          <rPr>
            <sz val="9"/>
            <color indexed="81"/>
            <rFont val="Tahoma"/>
            <family val="2"/>
          </rPr>
          <t xml:space="preserve">
</t>
        </r>
        <r>
          <rPr>
            <sz val="12"/>
            <color indexed="81"/>
            <rFont val="Tahoma"/>
            <family val="2"/>
          </rPr>
          <t>- Năm 2022: 2.400 triệu đồng
- Năm 2023:: 2.000 triệu đồng
- Năm 2024: 2.073  triệu đồng (Năm 2024 bố trí 3.025 triệu đồng giảm 952 triệu đồng còn 2.073 triệu đồng</t>
        </r>
      </text>
    </comment>
    <comment ref="M115" authorId="3">
      <text>
        <r>
          <rPr>
            <b/>
            <sz val="9"/>
            <color indexed="81"/>
            <rFont val="Tahoma"/>
            <family val="2"/>
          </rPr>
          <t>HP:</t>
        </r>
        <r>
          <rPr>
            <sz val="9"/>
            <color indexed="81"/>
            <rFont val="Tahoma"/>
            <family val="2"/>
          </rPr>
          <t xml:space="preserve">
Năm 2022: 700
Năm 2023: 495</t>
        </r>
      </text>
    </comment>
    <comment ref="M116" authorId="3">
      <text>
        <r>
          <rPr>
            <b/>
            <sz val="9"/>
            <color indexed="81"/>
            <rFont val="Tahoma"/>
            <family val="2"/>
          </rPr>
          <t>HP:</t>
        </r>
        <r>
          <rPr>
            <sz val="9"/>
            <color indexed="81"/>
            <rFont val="Tahoma"/>
            <family val="2"/>
          </rPr>
          <t xml:space="preserve">
Năm 2022: 1936</t>
        </r>
      </text>
    </comment>
    <comment ref="M117" authorId="3">
      <text>
        <r>
          <rPr>
            <b/>
            <sz val="9"/>
            <color indexed="81"/>
            <rFont val="Tahoma"/>
            <family val="2"/>
          </rPr>
          <t>HP:</t>
        </r>
        <r>
          <rPr>
            <sz val="9"/>
            <color indexed="81"/>
            <rFont val="Tahoma"/>
            <family val="2"/>
          </rPr>
          <t xml:space="preserve">
Năm 2022: 2365</t>
        </r>
      </text>
    </comment>
    <comment ref="M118" authorId="1">
      <text>
        <r>
          <rPr>
            <b/>
            <sz val="9"/>
            <color indexed="81"/>
            <rFont val="Tahoma"/>
            <family val="2"/>
          </rPr>
          <t>ICT:</t>
        </r>
        <r>
          <rPr>
            <sz val="9"/>
            <color indexed="81"/>
            <rFont val="Tahoma"/>
            <family val="2"/>
          </rPr>
          <t xml:space="preserve">
</t>
        </r>
        <r>
          <rPr>
            <sz val="12"/>
            <color indexed="81"/>
            <rFont val="Tahoma"/>
            <family val="2"/>
          </rPr>
          <t>- Năm 2022: 1.144 triệu đồng
- Năm 2023:: 2.733 triệu đồng
- Năm 2024: 24  triệu đồng (Năm 2024 bố trí 342 triệu đồng giảm 318 triệu đồng còn 24 triệu đồng</t>
        </r>
      </text>
    </comment>
    <comment ref="M119" authorId="1">
      <text>
        <r>
          <rPr>
            <b/>
            <sz val="9"/>
            <color indexed="81"/>
            <rFont val="Tahoma"/>
            <family val="2"/>
          </rPr>
          <t>ICT:</t>
        </r>
        <r>
          <rPr>
            <sz val="9"/>
            <color indexed="81"/>
            <rFont val="Tahoma"/>
            <family val="2"/>
          </rPr>
          <t xml:space="preserve">
</t>
        </r>
        <r>
          <rPr>
            <sz val="12"/>
            <color indexed="81"/>
            <rFont val="Tahoma"/>
            <family val="2"/>
          </rPr>
          <t>- Năm 2022: 2.417 triệu đồng
- Năm 2023:: 4.000  triệu đồng
- Năm 2024: 3.100  triệu đồng (Năm 2024 bố trí 4.604 triệu đồng giảm 1.504 triệu đồng còn 3.100 triệu đồng</t>
        </r>
      </text>
    </comment>
    <comment ref="M120" authorId="3">
      <text>
        <r>
          <rPr>
            <b/>
            <sz val="9"/>
            <color indexed="81"/>
            <rFont val="Tahoma"/>
            <family val="2"/>
          </rPr>
          <t>HP:</t>
        </r>
        <r>
          <rPr>
            <sz val="9"/>
            <color indexed="81"/>
            <rFont val="Tahoma"/>
            <family val="2"/>
          </rPr>
          <t xml:space="preserve">
Năm 2022: 800
Năm 2023: 1010</t>
        </r>
      </text>
    </comment>
    <comment ref="M121" authorId="3">
      <text>
        <r>
          <rPr>
            <b/>
            <sz val="9"/>
            <color indexed="81"/>
            <rFont val="Tahoma"/>
            <family val="2"/>
          </rPr>
          <t>HP:</t>
        </r>
        <r>
          <rPr>
            <sz val="9"/>
            <color indexed="81"/>
            <rFont val="Tahoma"/>
            <family val="2"/>
          </rPr>
          <t xml:space="preserve">
Năm 2022: 500
Năm 2023: 253</t>
        </r>
      </text>
    </comment>
    <comment ref="M122" authorId="3">
      <text>
        <r>
          <rPr>
            <b/>
            <sz val="9"/>
            <color indexed="81"/>
            <rFont val="Tahoma"/>
            <family val="2"/>
          </rPr>
          <t>HP:</t>
        </r>
        <r>
          <rPr>
            <sz val="9"/>
            <color indexed="81"/>
            <rFont val="Tahoma"/>
            <family val="2"/>
          </rPr>
          <t xml:space="preserve">
Năm 2022: 700
Năm 2023: 634</t>
        </r>
      </text>
    </comment>
    <comment ref="M123" authorId="3">
      <text>
        <r>
          <rPr>
            <b/>
            <sz val="9"/>
            <color indexed="81"/>
            <rFont val="Tahoma"/>
            <family val="2"/>
          </rPr>
          <t>HP:</t>
        </r>
        <r>
          <rPr>
            <sz val="9"/>
            <color indexed="81"/>
            <rFont val="Tahoma"/>
            <family val="2"/>
          </rPr>
          <t xml:space="preserve">
Năm 2022: 331</t>
        </r>
      </text>
    </comment>
    <comment ref="M124" authorId="3">
      <text>
        <r>
          <rPr>
            <b/>
            <sz val="9"/>
            <color indexed="81"/>
            <rFont val="Tahoma"/>
            <family val="2"/>
          </rPr>
          <t>HP:</t>
        </r>
        <r>
          <rPr>
            <sz val="9"/>
            <color indexed="81"/>
            <rFont val="Tahoma"/>
            <family val="2"/>
          </rPr>
          <t xml:space="preserve">
Năm 2022: 1000
Năm 2023: 1637</t>
        </r>
      </text>
    </comment>
    <comment ref="M125" authorId="1">
      <text>
        <r>
          <rPr>
            <b/>
            <sz val="9"/>
            <color indexed="81"/>
            <rFont val="Tahoma"/>
            <family val="2"/>
          </rPr>
          <t>ICT:</t>
        </r>
        <r>
          <rPr>
            <sz val="9"/>
            <color indexed="81"/>
            <rFont val="Tahoma"/>
            <family val="2"/>
          </rPr>
          <t xml:space="preserve">
</t>
        </r>
        <r>
          <rPr>
            <sz val="12"/>
            <color indexed="81"/>
            <rFont val="Tahoma"/>
            <family val="2"/>
          </rPr>
          <t>Năm 2024: 1.000 triệu đồng, tăng thêm 1.200 = 2,200 triệu đồng</t>
        </r>
      </text>
    </comment>
    <comment ref="M126" authorId="1">
      <text>
        <r>
          <rPr>
            <b/>
            <sz val="9"/>
            <color indexed="81"/>
            <rFont val="Tahoma"/>
            <family val="2"/>
          </rPr>
          <t>ICT:</t>
        </r>
        <r>
          <rPr>
            <sz val="9"/>
            <color indexed="81"/>
            <rFont val="Tahoma"/>
            <family val="2"/>
          </rPr>
          <t xml:space="preserve">
Năm 2024: 2.500</t>
        </r>
      </text>
    </comment>
    <comment ref="M127" authorId="1">
      <text>
        <r>
          <rPr>
            <b/>
            <sz val="9"/>
            <color indexed="81"/>
            <rFont val="Tahoma"/>
            <family val="2"/>
          </rPr>
          <t>ICT:</t>
        </r>
        <r>
          <rPr>
            <sz val="9"/>
            <color indexed="81"/>
            <rFont val="Tahoma"/>
            <family val="2"/>
          </rPr>
          <t xml:space="preserve">
Năm 2024: 1.238</t>
        </r>
      </text>
    </comment>
    <comment ref="M128" authorId="1">
      <text>
        <r>
          <rPr>
            <b/>
            <sz val="9"/>
            <color indexed="81"/>
            <rFont val="Tahoma"/>
            <family val="2"/>
          </rPr>
          <t>ICT:</t>
        </r>
        <r>
          <rPr>
            <sz val="9"/>
            <color indexed="81"/>
            <rFont val="Tahoma"/>
            <family val="2"/>
          </rPr>
          <t xml:space="preserve">
</t>
        </r>
        <r>
          <rPr>
            <sz val="12"/>
            <color indexed="81"/>
            <rFont val="Tahoma"/>
            <family val="2"/>
          </rPr>
          <t>Năm 2024: 2.000 triệu đồng, tăng thêm 1.400 = 3.400 triệu đồng</t>
        </r>
      </text>
    </comment>
    <comment ref="M129" authorId="1">
      <text>
        <r>
          <rPr>
            <b/>
            <sz val="9"/>
            <color indexed="81"/>
            <rFont val="Tahoma"/>
            <family val="2"/>
          </rPr>
          <t>ICT:</t>
        </r>
        <r>
          <rPr>
            <sz val="9"/>
            <color indexed="81"/>
            <rFont val="Tahoma"/>
            <family val="2"/>
          </rPr>
          <t xml:space="preserve">
</t>
        </r>
        <r>
          <rPr>
            <sz val="12"/>
            <color indexed="81"/>
            <rFont val="Tahoma"/>
            <family val="2"/>
          </rPr>
          <t>Năm 2024: 1.000 triệu đồng, tăng thêm 450= 1.450 triệu đồng</t>
        </r>
      </text>
    </comment>
    <comment ref="M130" authorId="1">
      <text>
        <r>
          <rPr>
            <b/>
            <sz val="9"/>
            <color indexed="81"/>
            <rFont val="Tahoma"/>
            <family val="2"/>
          </rPr>
          <t>ICT:</t>
        </r>
        <r>
          <rPr>
            <sz val="9"/>
            <color indexed="81"/>
            <rFont val="Tahoma"/>
            <family val="2"/>
          </rPr>
          <t xml:space="preserve">
Năm 2024: 4.350</t>
        </r>
      </text>
    </comment>
    <comment ref="M132" authorId="3">
      <text>
        <r>
          <rPr>
            <b/>
            <sz val="9"/>
            <color indexed="81"/>
            <rFont val="Tahoma"/>
            <family val="2"/>
          </rPr>
          <t>HP:</t>
        </r>
        <r>
          <rPr>
            <sz val="9"/>
            <color indexed="81"/>
            <rFont val="Tahoma"/>
            <family val="2"/>
          </rPr>
          <t xml:space="preserve">
Năm 2024: 1000</t>
        </r>
      </text>
    </comment>
    <comment ref="M133" authorId="1">
      <text>
        <r>
          <rPr>
            <b/>
            <sz val="9"/>
            <color indexed="81"/>
            <rFont val="Tahoma"/>
            <family val="2"/>
          </rPr>
          <t>ICT:</t>
        </r>
        <r>
          <rPr>
            <sz val="9"/>
            <color indexed="81"/>
            <rFont val="Tahoma"/>
            <family val="2"/>
          </rPr>
          <t xml:space="preserve">
Năm 2024: 1.200</t>
        </r>
      </text>
    </comment>
    <comment ref="M134" authorId="3">
      <text>
        <r>
          <rPr>
            <b/>
            <sz val="9"/>
            <color indexed="81"/>
            <rFont val="Tahoma"/>
            <family val="2"/>
          </rPr>
          <t>HP:</t>
        </r>
        <r>
          <rPr>
            <sz val="9"/>
            <color indexed="81"/>
            <rFont val="Tahoma"/>
            <family val="2"/>
          </rPr>
          <t xml:space="preserve">
Năm 2024: 1000</t>
        </r>
      </text>
    </comment>
    <comment ref="M140" authorId="1">
      <text>
        <r>
          <rPr>
            <b/>
            <sz val="9"/>
            <color indexed="81"/>
            <rFont val="Tahoma"/>
            <family val="2"/>
          </rPr>
          <t>ICT:</t>
        </r>
        <r>
          <rPr>
            <sz val="9"/>
            <color indexed="81"/>
            <rFont val="Tahoma"/>
            <family val="2"/>
          </rPr>
          <t xml:space="preserve">
Năm 2024: 1.500</t>
        </r>
      </text>
    </comment>
    <comment ref="M142" authorId="1">
      <text>
        <r>
          <rPr>
            <b/>
            <sz val="9"/>
            <color indexed="81"/>
            <rFont val="Tahoma"/>
            <family val="2"/>
          </rPr>
          <t>ICT:</t>
        </r>
        <r>
          <rPr>
            <sz val="9"/>
            <color indexed="81"/>
            <rFont val="Tahoma"/>
            <family val="2"/>
          </rPr>
          <t xml:space="preserve">
Năm 2024: 1.250</t>
        </r>
      </text>
    </comment>
    <comment ref="M144" authorId="3">
      <text>
        <r>
          <rPr>
            <b/>
            <sz val="9"/>
            <color indexed="81"/>
            <rFont val="Tahoma"/>
            <family val="2"/>
          </rPr>
          <t>HP:</t>
        </r>
        <r>
          <rPr>
            <sz val="9"/>
            <color indexed="81"/>
            <rFont val="Tahoma"/>
            <family val="2"/>
          </rPr>
          <t xml:space="preserve">
Năm 2024: 500</t>
        </r>
      </text>
    </comment>
    <comment ref="M146" authorId="3">
      <text>
        <r>
          <rPr>
            <b/>
            <sz val="9"/>
            <color indexed="81"/>
            <rFont val="Tahoma"/>
            <family val="2"/>
          </rPr>
          <t>HP:</t>
        </r>
        <r>
          <rPr>
            <sz val="9"/>
            <color indexed="81"/>
            <rFont val="Tahoma"/>
            <family val="2"/>
          </rPr>
          <t xml:space="preserve">
Năm 2024: 900</t>
        </r>
      </text>
    </comment>
    <comment ref="M149" authorId="1">
      <text>
        <r>
          <rPr>
            <b/>
            <sz val="9"/>
            <color indexed="81"/>
            <rFont val="Tahoma"/>
            <family val="2"/>
          </rPr>
          <t>ICT:</t>
        </r>
        <r>
          <rPr>
            <sz val="9"/>
            <color indexed="81"/>
            <rFont val="Tahoma"/>
            <family val="2"/>
          </rPr>
          <t xml:space="preserve">
Giảm 2.000 triệu theo NQ 11 điều chỉnh vốn 6 tháng đầu năm 2024</t>
        </r>
      </text>
    </comment>
    <comment ref="M151" authorId="4">
      <text>
        <r>
          <rPr>
            <b/>
            <sz val="9"/>
            <color indexed="81"/>
            <rFont val="Tahoma"/>
            <family val="2"/>
          </rPr>
          <t>Administrator:</t>
        </r>
        <r>
          <rPr>
            <sz val="9"/>
            <color indexed="81"/>
            <rFont val="Tahoma"/>
            <family val="2"/>
          </rPr>
          <t xml:space="preserve">
Vốn năm 2021: 6.100
Vốn năm 2022: 330</t>
        </r>
      </text>
    </comment>
    <comment ref="M152" authorId="2">
      <text>
        <r>
          <rPr>
            <b/>
            <sz val="9"/>
            <color indexed="81"/>
            <rFont val="Tahoma"/>
            <family val="2"/>
          </rPr>
          <t>ismail - [2010]:</t>
        </r>
        <r>
          <rPr>
            <sz val="9"/>
            <color indexed="81"/>
            <rFont val="Tahoma"/>
            <family val="2"/>
          </rPr>
          <t xml:space="preserve">
Vốn năm 2021: 
Vốn năm 2022: 4.700
Vốn năm 2023: 19.160
Vốn năm 2024: 20.978</t>
        </r>
      </text>
    </comment>
    <comment ref="M153" authorId="2">
      <text>
        <r>
          <rPr>
            <b/>
            <sz val="9"/>
            <color indexed="81"/>
            <rFont val="Tahoma"/>
            <family val="2"/>
          </rPr>
          <t>ismail - [2010]:</t>
        </r>
        <r>
          <rPr>
            <sz val="9"/>
            <color indexed="81"/>
            <rFont val="Tahoma"/>
            <family val="2"/>
          </rPr>
          <t xml:space="preserve">
Vốn năm 2021: 
Vốn năm 2022: 126
Vốn năm 2023: 
Vốn năm 2024: </t>
        </r>
      </text>
    </comment>
    <comment ref="M154" authorId="2">
      <text>
        <r>
          <rPr>
            <b/>
            <sz val="9"/>
            <color indexed="81"/>
            <rFont val="Tahoma"/>
            <family val="2"/>
          </rPr>
          <t>ismail - [2010]:</t>
        </r>
        <r>
          <rPr>
            <sz val="9"/>
            <color indexed="81"/>
            <rFont val="Tahoma"/>
            <family val="2"/>
          </rPr>
          <t xml:space="preserve">
Vốn năm 2021: 
Vốn năm 2022: 1.400
Vốn năm 2023: 758
Vốn năm 2024: </t>
        </r>
      </text>
    </comment>
    <comment ref="M155" authorId="2">
      <text>
        <r>
          <rPr>
            <b/>
            <sz val="9"/>
            <color indexed="81"/>
            <rFont val="Tahoma"/>
            <family val="2"/>
          </rPr>
          <t>ismail - [2010]:</t>
        </r>
        <r>
          <rPr>
            <sz val="9"/>
            <color indexed="81"/>
            <rFont val="Tahoma"/>
            <family val="2"/>
          </rPr>
          <t xml:space="preserve">
Vốn năm 2021: 
Vốn năm 2022: 2.800
Vốn năm 2023: 2.300
Vốn năm 2024: 1.550</t>
        </r>
      </text>
    </comment>
    <comment ref="M156" authorId="2">
      <text>
        <r>
          <rPr>
            <b/>
            <sz val="9"/>
            <color indexed="81"/>
            <rFont val="Tahoma"/>
            <family val="2"/>
          </rPr>
          <t>ismail - [2010]:</t>
        </r>
        <r>
          <rPr>
            <sz val="9"/>
            <color indexed="81"/>
            <rFont val="Tahoma"/>
            <family val="2"/>
          </rPr>
          <t xml:space="preserve">
Vốn năm 2021: 
Vốn năm 2022: 5.300
Vốn năm 2023: 10.500
Vốn năm 2024: 1.700</t>
        </r>
      </text>
    </comment>
    <comment ref="M157" authorId="2">
      <text>
        <r>
          <rPr>
            <b/>
            <sz val="9"/>
            <color indexed="81"/>
            <rFont val="Tahoma"/>
            <family val="2"/>
          </rPr>
          <t>ismail - [2010]:</t>
        </r>
        <r>
          <rPr>
            <sz val="9"/>
            <color indexed="81"/>
            <rFont val="Tahoma"/>
            <family val="2"/>
          </rPr>
          <t xml:space="preserve">
Vốn năm 2021: 
Vốn năm 2022: 1.500
Vốn năm 2023: 852
Vốn năm 2024: </t>
        </r>
      </text>
    </comment>
    <comment ref="M158" authorId="2">
      <text>
        <r>
          <rPr>
            <b/>
            <sz val="9"/>
            <color indexed="81"/>
            <rFont val="Tahoma"/>
            <family val="2"/>
          </rPr>
          <t>ismail - [2010]:</t>
        </r>
        <r>
          <rPr>
            <sz val="9"/>
            <color indexed="81"/>
            <rFont val="Tahoma"/>
            <family val="2"/>
          </rPr>
          <t xml:space="preserve">
Vốn năm 2021: 
Vốn năm 2022: 1.500
Vốn năm 2023: 1.200
Vốn năm 2024: </t>
        </r>
      </text>
    </comment>
    <comment ref="M159" authorId="2">
      <text>
        <r>
          <rPr>
            <b/>
            <sz val="9"/>
            <color indexed="81"/>
            <rFont val="Tahoma"/>
            <family val="2"/>
          </rPr>
          <t>ismail - [2010]:</t>
        </r>
        <r>
          <rPr>
            <sz val="9"/>
            <color indexed="81"/>
            <rFont val="Tahoma"/>
            <family val="2"/>
          </rPr>
          <t xml:space="preserve">
Vốn năm 2021: 
Vốn năm 2022:
Vốn năm 2023: 3.000
Vốn năm 2024: 7.800</t>
        </r>
      </text>
    </comment>
    <comment ref="M160" authorId="2">
      <text>
        <r>
          <rPr>
            <b/>
            <sz val="9"/>
            <color indexed="81"/>
            <rFont val="Tahoma"/>
            <family val="2"/>
          </rPr>
          <t>ismail - [2010]:</t>
        </r>
        <r>
          <rPr>
            <sz val="9"/>
            <color indexed="81"/>
            <rFont val="Tahoma"/>
            <family val="2"/>
          </rPr>
          <t xml:space="preserve">
Vốn năm 2021: 
Vốn năm 2022:
Vốn năm 2023: 
Vốn năm 2024:3,000</t>
        </r>
      </text>
    </comment>
    <comment ref="M161" authorId="2">
      <text>
        <r>
          <rPr>
            <b/>
            <sz val="9"/>
            <color indexed="81"/>
            <rFont val="Tahoma"/>
            <family val="2"/>
          </rPr>
          <t>ismail - [2010]:</t>
        </r>
        <r>
          <rPr>
            <sz val="9"/>
            <color indexed="81"/>
            <rFont val="Tahoma"/>
            <family val="2"/>
          </rPr>
          <t xml:space="preserve">
Vốn năm 2021: 
Vốn năm 2022:
Vốn năm 2023: 
Vốn năm 2024: 1.500</t>
        </r>
      </text>
    </comment>
    <comment ref="M162" authorId="2">
      <text>
        <r>
          <rPr>
            <b/>
            <sz val="9"/>
            <color indexed="81"/>
            <rFont val="Tahoma"/>
            <family val="2"/>
          </rPr>
          <t>ismail - [2010]:</t>
        </r>
        <r>
          <rPr>
            <sz val="9"/>
            <color indexed="81"/>
            <rFont val="Tahoma"/>
            <family val="2"/>
          </rPr>
          <t xml:space="preserve">
Vốn năm 2021: 
Vốn năm 2022:
Vốn năm 2023: 
Vốn năm 2024: 500</t>
        </r>
      </text>
    </comment>
    <comment ref="M163" authorId="2">
      <text>
        <r>
          <rPr>
            <b/>
            <sz val="9"/>
            <color indexed="81"/>
            <rFont val="Tahoma"/>
            <family val="2"/>
          </rPr>
          <t>ismail - [2010]:</t>
        </r>
        <r>
          <rPr>
            <sz val="9"/>
            <color indexed="81"/>
            <rFont val="Tahoma"/>
            <family val="2"/>
          </rPr>
          <t xml:space="preserve">
Vốn năm 2021: 
Vốn năm 2022:
Vốn năm 2023: 
Vốn năm 2024: 2.000</t>
        </r>
      </text>
    </comment>
    <comment ref="M164" authorId="2">
      <text>
        <r>
          <rPr>
            <b/>
            <sz val="9"/>
            <color indexed="81"/>
            <rFont val="Tahoma"/>
            <family val="2"/>
          </rPr>
          <t>ismail - [2010]:</t>
        </r>
        <r>
          <rPr>
            <sz val="9"/>
            <color indexed="81"/>
            <rFont val="Tahoma"/>
            <family val="2"/>
          </rPr>
          <t xml:space="preserve">
Vốn năm 2021: 
Vốn năm 2022:
Vốn năm 2023: 
Vốn năm 2024: 3.327</t>
        </r>
      </text>
    </comment>
    <comment ref="H166" authorId="1">
      <text>
        <r>
          <rPr>
            <b/>
            <sz val="9"/>
            <color indexed="81"/>
            <rFont val="Tahoma"/>
            <family val="2"/>
          </rPr>
          <t>ICT:</t>
        </r>
        <r>
          <rPr>
            <sz val="9"/>
            <color indexed="81"/>
            <rFont val="Tahoma"/>
            <family val="2"/>
          </rPr>
          <t xml:space="preserve">
Đa cập nhật theo QĐ 453</t>
        </r>
      </text>
    </comment>
    <comment ref="M166" authorId="2">
      <text>
        <r>
          <rPr>
            <b/>
            <sz val="9"/>
            <color indexed="81"/>
            <rFont val="Tahoma"/>
            <family val="2"/>
          </rPr>
          <t>ismail - [2010]:</t>
        </r>
        <r>
          <rPr>
            <sz val="9"/>
            <color indexed="81"/>
            <rFont val="Tahoma"/>
            <family val="2"/>
          </rPr>
          <t xml:space="preserve">
Vốn năm 2021: 
Vốn năm 2022:
Vốn năm 2023: 
Vốn năm 2024: 950</t>
        </r>
      </text>
    </comment>
    <comment ref="H167" authorId="1">
      <text>
        <r>
          <rPr>
            <b/>
            <sz val="9"/>
            <color indexed="81"/>
            <rFont val="Tahoma"/>
            <family val="2"/>
          </rPr>
          <t>ICT:</t>
        </r>
        <r>
          <rPr>
            <sz val="9"/>
            <color indexed="81"/>
            <rFont val="Tahoma"/>
            <family val="2"/>
          </rPr>
          <t xml:space="preserve">
Đã cập nhật theo QĐ 467</t>
        </r>
      </text>
    </comment>
    <comment ref="M167" authorId="2">
      <text>
        <r>
          <rPr>
            <b/>
            <sz val="9"/>
            <color indexed="81"/>
            <rFont val="Tahoma"/>
            <family val="2"/>
          </rPr>
          <t>ismail - [2010]:</t>
        </r>
        <r>
          <rPr>
            <sz val="9"/>
            <color indexed="81"/>
            <rFont val="Tahoma"/>
            <family val="2"/>
          </rPr>
          <t xml:space="preserve">
Vốn năm 2021: 
Vốn năm 2022:
Vốn năm 2023: 
Vốn năm 2024: 1.150</t>
        </r>
      </text>
    </comment>
    <comment ref="M168" authorId="2">
      <text>
        <r>
          <rPr>
            <b/>
            <sz val="9"/>
            <color indexed="81"/>
            <rFont val="Tahoma"/>
            <family val="2"/>
          </rPr>
          <t>ismail - [2010]:</t>
        </r>
        <r>
          <rPr>
            <sz val="9"/>
            <color indexed="81"/>
            <rFont val="Tahoma"/>
            <family val="2"/>
          </rPr>
          <t xml:space="preserve">
Vốn năm 2021: 
Vốn năm 2022:
Vốn năm 2023: 
Vốn năm 2024: 1.300</t>
        </r>
      </text>
    </comment>
    <comment ref="M174" authorId="1">
      <text>
        <r>
          <rPr>
            <b/>
            <sz val="9"/>
            <color indexed="81"/>
            <rFont val="Tahoma"/>
            <family val="2"/>
          </rPr>
          <t>ICT:</t>
        </r>
        <r>
          <rPr>
            <sz val="9"/>
            <color indexed="81"/>
            <rFont val="Tahoma"/>
            <family val="2"/>
          </rPr>
          <t xml:space="preserve">
</t>
        </r>
        <r>
          <rPr>
            <sz val="12"/>
            <color indexed="81"/>
            <rFont val="Tahoma"/>
            <family val="2"/>
          </rPr>
          <t>- Năm 2022: 2.400 triệu đồng
- Năm 2023: 2.6000 triệu đồng
- Năm 2024: 3.726 triệu đồng (Năm 2024 bố trí 4.509 triệu đồng giảm 783 triệu đồng còn 3.726 triệu đồng--</t>
        </r>
      </text>
    </comment>
    <comment ref="M175" authorId="2">
      <text>
        <r>
          <rPr>
            <b/>
            <sz val="9"/>
            <color indexed="81"/>
            <rFont val="Tahoma"/>
            <family val="2"/>
          </rPr>
          <t>ismail - [2010]:</t>
        </r>
        <r>
          <rPr>
            <sz val="9"/>
            <color indexed="81"/>
            <rFont val="Tahoma"/>
            <family val="2"/>
          </rPr>
          <t xml:space="preserve">
Vốn năm 2021: 
Vốn năm 2022: 3.352
Vốn năm 2023: 700
Vốn năm 2024: 335</t>
        </r>
      </text>
    </comment>
    <comment ref="M176" authorId="2">
      <text>
        <r>
          <rPr>
            <b/>
            <sz val="9"/>
            <color indexed="81"/>
            <rFont val="Tahoma"/>
            <family val="2"/>
          </rPr>
          <t>ismail - [2010]:</t>
        </r>
        <r>
          <rPr>
            <sz val="9"/>
            <color indexed="81"/>
            <rFont val="Tahoma"/>
            <family val="2"/>
          </rPr>
          <t xml:space="preserve">
Vốn năm 2021: 
Vốn năm 2022: 4.909
Vốn năm 2023: 7.000
Vốn năm 2024: 9.967</t>
        </r>
      </text>
    </comment>
    <comment ref="M177" authorId="2">
      <text>
        <r>
          <rPr>
            <b/>
            <sz val="9"/>
            <color indexed="81"/>
            <rFont val="Tahoma"/>
            <family val="2"/>
          </rPr>
          <t>ismail - [2010]:</t>
        </r>
        <r>
          <rPr>
            <sz val="9"/>
            <color indexed="81"/>
            <rFont val="Tahoma"/>
            <family val="2"/>
          </rPr>
          <t xml:space="preserve">
</t>
        </r>
        <r>
          <rPr>
            <sz val="12"/>
            <color indexed="81"/>
            <rFont val="Tahoma"/>
            <family val="2"/>
          </rPr>
          <t>Vốn năm 2021: 
Vốn năm 2022: 2.000
Vốn năm 2023: 2.000
Vốn năm 2024: 1.805</t>
        </r>
      </text>
    </comment>
    <comment ref="M178" authorId="2">
      <text>
        <r>
          <rPr>
            <b/>
            <sz val="9"/>
            <color indexed="81"/>
            <rFont val="Tahoma"/>
            <family val="2"/>
          </rPr>
          <t>ismail - [2010]:</t>
        </r>
        <r>
          <rPr>
            <sz val="9"/>
            <color indexed="81"/>
            <rFont val="Tahoma"/>
            <family val="2"/>
          </rPr>
          <t xml:space="preserve">
Vốn năm 2021: 
Vốn năm 2022: 2.600
Vốn năm 2023: 2.380
Vốn năm 2024: 1.914</t>
        </r>
      </text>
    </comment>
    <comment ref="M179" authorId="2">
      <text>
        <r>
          <rPr>
            <b/>
            <sz val="9"/>
            <color indexed="81"/>
            <rFont val="Tahoma"/>
            <family val="2"/>
          </rPr>
          <t>ismail - [2010]:</t>
        </r>
        <r>
          <rPr>
            <sz val="9"/>
            <color indexed="81"/>
            <rFont val="Tahoma"/>
            <family val="2"/>
          </rPr>
          <t xml:space="preserve">
Vốn năm 2021: 
Vốn năm 2022: 750
Vốn năm 2023: 2.000
Vốn năm 2024: 1.236</t>
        </r>
      </text>
    </comment>
    <comment ref="M180" authorId="2">
      <text>
        <r>
          <rPr>
            <b/>
            <sz val="9"/>
            <color indexed="81"/>
            <rFont val="Tahoma"/>
            <family val="2"/>
          </rPr>
          <t>ismail - [2010]:</t>
        </r>
        <r>
          <rPr>
            <sz val="9"/>
            <color indexed="81"/>
            <rFont val="Tahoma"/>
            <family val="2"/>
          </rPr>
          <t xml:space="preserve">
</t>
        </r>
        <r>
          <rPr>
            <sz val="12"/>
            <color indexed="81"/>
            <rFont val="Tahoma"/>
            <family val="2"/>
          </rPr>
          <t>Vốn năm 2021: 
Vốn năm 2022: 7.648
Vốn năm 2023: 2.000
Vốn năm 2024: 2.614</t>
        </r>
      </text>
    </comment>
    <comment ref="M181" authorId="2">
      <text>
        <r>
          <rPr>
            <b/>
            <sz val="9"/>
            <color indexed="81"/>
            <rFont val="Tahoma"/>
            <family val="2"/>
          </rPr>
          <t>ismail - [2010]:</t>
        </r>
        <r>
          <rPr>
            <sz val="9"/>
            <color indexed="81"/>
            <rFont val="Tahoma"/>
            <family val="2"/>
          </rPr>
          <t xml:space="preserve">
Vốn năm 2021: 
Vốn năm 2022: 7000
Vốn năm 2023: 1.910
Vốn năm 2024: </t>
        </r>
      </text>
    </comment>
    <comment ref="M182" authorId="1">
      <text>
        <r>
          <rPr>
            <b/>
            <sz val="9"/>
            <color indexed="81"/>
            <rFont val="Tahoma"/>
            <family val="2"/>
          </rPr>
          <t>ICT:</t>
        </r>
        <r>
          <rPr>
            <sz val="9"/>
            <color indexed="81"/>
            <rFont val="Tahoma"/>
            <family val="2"/>
          </rPr>
          <t xml:space="preserve">
Năm 2024: 2.000</t>
        </r>
      </text>
    </comment>
    <comment ref="M185" authorId="2">
      <text>
        <r>
          <rPr>
            <b/>
            <sz val="9"/>
            <color indexed="81"/>
            <rFont val="Tahoma"/>
            <family val="2"/>
          </rPr>
          <t>ismail - [2010]:</t>
        </r>
        <r>
          <rPr>
            <sz val="9"/>
            <color indexed="81"/>
            <rFont val="Tahoma"/>
            <family val="2"/>
          </rPr>
          <t xml:space="preserve">
Vốn năm 2021: 
Vốn năm 2022: 840
Vốn năm 2023: 
Vốn năm 2024: </t>
        </r>
      </text>
    </comment>
    <comment ref="M186" authorId="2">
      <text>
        <r>
          <rPr>
            <b/>
            <sz val="9"/>
            <color indexed="81"/>
            <rFont val="Tahoma"/>
            <family val="2"/>
          </rPr>
          <t>ismail - [2010]:</t>
        </r>
        <r>
          <rPr>
            <sz val="9"/>
            <color indexed="81"/>
            <rFont val="Tahoma"/>
            <family val="2"/>
          </rPr>
          <t xml:space="preserve">
Vốn năm 2021: 
Vốn năm 2022: 173
Vốn năm 2023: 
Vốn năm 2024: </t>
        </r>
      </text>
    </comment>
    <comment ref="M187" authorId="2">
      <text>
        <r>
          <rPr>
            <b/>
            <sz val="9"/>
            <color indexed="81"/>
            <rFont val="Tahoma"/>
            <family val="2"/>
          </rPr>
          <t>ismail - [2010]:</t>
        </r>
        <r>
          <rPr>
            <sz val="9"/>
            <color indexed="81"/>
            <rFont val="Tahoma"/>
            <family val="2"/>
          </rPr>
          <t xml:space="preserve">
Vốn năm 2021: 
Vốn năm 2022: 3.000
Vốn năm 2023: 416
Vốn năm 2024: </t>
        </r>
      </text>
    </comment>
    <comment ref="M188" authorId="2">
      <text>
        <r>
          <rPr>
            <b/>
            <sz val="9"/>
            <color indexed="81"/>
            <rFont val="Tahoma"/>
            <family val="2"/>
          </rPr>
          <t>ismail - [2010]:</t>
        </r>
        <r>
          <rPr>
            <sz val="9"/>
            <color indexed="81"/>
            <rFont val="Tahoma"/>
            <family val="2"/>
          </rPr>
          <t xml:space="preserve">
Vốn năm 2021: 
Vốn năm 2022: 2.500
Vốn năm 2023: 754
Vốn năm 2024: </t>
        </r>
      </text>
    </comment>
    <comment ref="M189" authorId="2">
      <text>
        <r>
          <rPr>
            <b/>
            <sz val="9"/>
            <color indexed="81"/>
            <rFont val="Tahoma"/>
            <family val="2"/>
          </rPr>
          <t>ismail - [2010]:</t>
        </r>
        <r>
          <rPr>
            <sz val="9"/>
            <color indexed="81"/>
            <rFont val="Tahoma"/>
            <family val="2"/>
          </rPr>
          <t xml:space="preserve">
Vốn năm 2021: 
Vốn năm 2022: 1.200
Vốn năm 2023: 731
Vốn năm 2024: </t>
        </r>
      </text>
    </comment>
    <comment ref="M190" authorId="2">
      <text>
        <r>
          <rPr>
            <b/>
            <sz val="9"/>
            <color indexed="81"/>
            <rFont val="Tahoma"/>
            <family val="2"/>
          </rPr>
          <t>ismail - [2010]:</t>
        </r>
        <r>
          <rPr>
            <sz val="9"/>
            <color indexed="81"/>
            <rFont val="Tahoma"/>
            <family val="2"/>
          </rPr>
          <t xml:space="preserve">
Vốn năm 2021: 
Vốn năm 2022: 1.200
Vốn năm 2023: 781
Vốn năm 2024: </t>
        </r>
      </text>
    </comment>
    <comment ref="M191" authorId="2">
      <text>
        <r>
          <rPr>
            <b/>
            <sz val="9"/>
            <color indexed="81"/>
            <rFont val="Tahoma"/>
            <family val="2"/>
          </rPr>
          <t>ismail - [2010]:</t>
        </r>
        <r>
          <rPr>
            <sz val="9"/>
            <color indexed="81"/>
            <rFont val="Tahoma"/>
            <family val="2"/>
          </rPr>
          <t xml:space="preserve">
Vốn năm 2021: 
Vốn năm 2022: 5.400
Vốn năm 2023: 853
Vốn năm 2024: </t>
        </r>
      </text>
    </comment>
    <comment ref="M192" authorId="2">
      <text>
        <r>
          <rPr>
            <b/>
            <sz val="9"/>
            <color indexed="81"/>
            <rFont val="Tahoma"/>
            <family val="2"/>
          </rPr>
          <t>ismail - [2010]:</t>
        </r>
        <r>
          <rPr>
            <sz val="9"/>
            <color indexed="81"/>
            <rFont val="Tahoma"/>
            <family val="2"/>
          </rPr>
          <t xml:space="preserve">
Vốn năm 2021: 
Vốn năm 2022: 2.400
Vốn năm 2023: 3.838
Vốn năm 2024: </t>
        </r>
      </text>
    </comment>
    <comment ref="M193" authorId="2">
      <text>
        <r>
          <rPr>
            <b/>
            <sz val="9"/>
            <color indexed="81"/>
            <rFont val="Tahoma"/>
            <family val="2"/>
          </rPr>
          <t>ismail - [2010]:</t>
        </r>
        <r>
          <rPr>
            <sz val="9"/>
            <color indexed="81"/>
            <rFont val="Tahoma"/>
            <family val="2"/>
          </rPr>
          <t xml:space="preserve">
Vốn năm 2021: 
Vốn năm 2022: 2.300
Vốn năm 2023: 3.822
Vốn năm 2024: </t>
        </r>
      </text>
    </comment>
    <comment ref="M194" authorId="2">
      <text>
        <r>
          <rPr>
            <b/>
            <sz val="9"/>
            <color indexed="81"/>
            <rFont val="Tahoma"/>
            <family val="2"/>
          </rPr>
          <t>ismail - [2010]:</t>
        </r>
        <r>
          <rPr>
            <sz val="9"/>
            <color indexed="81"/>
            <rFont val="Tahoma"/>
            <family val="2"/>
          </rPr>
          <t xml:space="preserve">
Vốn năm 2021: 
Vốn năm 2022: 450
Vốn năm 2023: 204
Vốn năm 2024: </t>
        </r>
      </text>
    </comment>
    <comment ref="M195" authorId="2">
      <text>
        <r>
          <rPr>
            <b/>
            <sz val="9"/>
            <color indexed="81"/>
            <rFont val="Tahoma"/>
            <family val="2"/>
          </rPr>
          <t>ismail - [2010]:</t>
        </r>
        <r>
          <rPr>
            <sz val="9"/>
            <color indexed="81"/>
            <rFont val="Tahoma"/>
            <family val="2"/>
          </rPr>
          <t xml:space="preserve">
Vốn năm 2021: 
Vốn năm 2022: 600
Vốn năm 2023: 309
Vốn năm 2024: </t>
        </r>
      </text>
    </comment>
    <comment ref="M196" authorId="2">
      <text>
        <r>
          <rPr>
            <b/>
            <sz val="9"/>
            <color indexed="81"/>
            <rFont val="Tahoma"/>
            <family val="2"/>
          </rPr>
          <t>ismail - [2010]:</t>
        </r>
        <r>
          <rPr>
            <sz val="9"/>
            <color indexed="81"/>
            <rFont val="Tahoma"/>
            <family val="2"/>
          </rPr>
          <t xml:space="preserve">
Vốn năm 2021: 
Vốn năm 2022: 2.000
Vốn năm 2023: 1.804
Vốn năm 2024: </t>
        </r>
      </text>
    </comment>
    <comment ref="M197" authorId="2">
      <text>
        <r>
          <rPr>
            <b/>
            <sz val="9"/>
            <color indexed="81"/>
            <rFont val="Tahoma"/>
            <family val="2"/>
          </rPr>
          <t>ismail - [2010]:</t>
        </r>
        <r>
          <rPr>
            <sz val="9"/>
            <color indexed="81"/>
            <rFont val="Tahoma"/>
            <family val="2"/>
          </rPr>
          <t xml:space="preserve">
Vốn năm 2021: 
Vốn năm 2022: 5.026
Vốn năm 2023: 1.160
Vốn năm 2024: </t>
        </r>
      </text>
    </comment>
    <comment ref="M198" authorId="2">
      <text>
        <r>
          <rPr>
            <b/>
            <sz val="9"/>
            <color indexed="81"/>
            <rFont val="Tahoma"/>
            <family val="2"/>
          </rPr>
          <t>ismail - [2010]:</t>
        </r>
        <r>
          <rPr>
            <sz val="9"/>
            <color indexed="81"/>
            <rFont val="Tahoma"/>
            <family val="2"/>
          </rPr>
          <t xml:space="preserve">
Vốn năm 2021: 
Vốn năm 2022: 705
Vốn năm 2023: 465
Vốn năm 2024: </t>
        </r>
      </text>
    </comment>
    <comment ref="M199" authorId="2">
      <text>
        <r>
          <rPr>
            <b/>
            <sz val="9"/>
            <color indexed="81"/>
            <rFont val="Tahoma"/>
            <family val="2"/>
          </rPr>
          <t>ismail - [2010]:</t>
        </r>
        <r>
          <rPr>
            <sz val="9"/>
            <color indexed="81"/>
            <rFont val="Tahoma"/>
            <family val="2"/>
          </rPr>
          <t xml:space="preserve">
Vốn năm 2021: 
Vốn năm 2022: 2.100
Vốn năm 2023: 242
Vốn năm 2024: </t>
        </r>
      </text>
    </comment>
    <comment ref="M200" authorId="2">
      <text>
        <r>
          <rPr>
            <b/>
            <sz val="9"/>
            <color indexed="81"/>
            <rFont val="Tahoma"/>
            <family val="2"/>
          </rPr>
          <t>ismail - [2010]:</t>
        </r>
        <r>
          <rPr>
            <sz val="9"/>
            <color indexed="81"/>
            <rFont val="Tahoma"/>
            <family val="2"/>
          </rPr>
          <t xml:space="preserve">
Vốn năm 2021: 
Vốn năm 2022: 3.200
Vốn năm 2023: 356
Vốn năm 2024: </t>
        </r>
      </text>
    </comment>
    <comment ref="M201" authorId="2">
      <text>
        <r>
          <rPr>
            <b/>
            <sz val="9"/>
            <color indexed="81"/>
            <rFont val="Tahoma"/>
            <family val="2"/>
          </rPr>
          <t>ismail - [2010]:</t>
        </r>
        <r>
          <rPr>
            <sz val="9"/>
            <color indexed="81"/>
            <rFont val="Tahoma"/>
            <family val="2"/>
          </rPr>
          <t xml:space="preserve">
Vốn năm 2021: 
Vốn năm 2022: 4.434
Vốn năm 2023: 
Vốn năm 2024: </t>
        </r>
      </text>
    </comment>
    <comment ref="M202" authorId="2">
      <text>
        <r>
          <rPr>
            <b/>
            <sz val="9"/>
            <color indexed="81"/>
            <rFont val="Tahoma"/>
            <family val="2"/>
          </rPr>
          <t>ismail - [2010]:</t>
        </r>
        <r>
          <rPr>
            <sz val="9"/>
            <color indexed="81"/>
            <rFont val="Tahoma"/>
            <family val="2"/>
          </rPr>
          <t xml:space="preserve">
Vốn năm 2021: 
Vốn năm 2022: 1.000
Vốn năm 2023: 572
Vốn năm 2024: </t>
        </r>
      </text>
    </comment>
    <comment ref="M203" authorId="2">
      <text>
        <r>
          <rPr>
            <b/>
            <sz val="9"/>
            <color indexed="81"/>
            <rFont val="Tahoma"/>
            <family val="2"/>
          </rPr>
          <t>ismail - [2010]:</t>
        </r>
        <r>
          <rPr>
            <sz val="9"/>
            <color indexed="81"/>
            <rFont val="Tahoma"/>
            <family val="2"/>
          </rPr>
          <t xml:space="preserve">
Vốn năm 2021: 
Vốn năm 2022: 1.850
Vốn năm 2023: 184
Vốn năm 2024: </t>
        </r>
      </text>
    </comment>
    <comment ref="M204" authorId="2">
      <text>
        <r>
          <rPr>
            <b/>
            <sz val="9"/>
            <color indexed="81"/>
            <rFont val="Tahoma"/>
            <family val="2"/>
          </rPr>
          <t>ismail - [2010]:</t>
        </r>
        <r>
          <rPr>
            <sz val="9"/>
            <color indexed="81"/>
            <rFont val="Tahoma"/>
            <family val="2"/>
          </rPr>
          <t xml:space="preserve">
Vốn năm 2021: 
Vốn năm 2022:
Vốn năm 2023: 
Vốn năm 2024: 1250</t>
        </r>
      </text>
    </comment>
    <comment ref="M205" authorId="2">
      <text>
        <r>
          <rPr>
            <b/>
            <sz val="9"/>
            <color indexed="81"/>
            <rFont val="Tahoma"/>
            <family val="2"/>
          </rPr>
          <t>ismail - [2010]:</t>
        </r>
        <r>
          <rPr>
            <sz val="9"/>
            <color indexed="81"/>
            <rFont val="Tahoma"/>
            <family val="2"/>
          </rPr>
          <t xml:space="preserve">
Vốn năm 2021: 
Vốn năm 2022:
Vốn năm 2023: 1.200
Vốn năm 2024: 800</t>
        </r>
      </text>
    </comment>
    <comment ref="M206" authorId="2">
      <text>
        <r>
          <rPr>
            <b/>
            <sz val="9"/>
            <color indexed="81"/>
            <rFont val="Tahoma"/>
            <family val="2"/>
          </rPr>
          <t>ismail - [2010]:</t>
        </r>
        <r>
          <rPr>
            <sz val="9"/>
            <color indexed="81"/>
            <rFont val="Tahoma"/>
            <family val="2"/>
          </rPr>
          <t xml:space="preserve">
Vốn năm 2021: 
Vốn năm 2022:
Vốn năm 2023: 
Vốn năm 2024: 1250</t>
        </r>
      </text>
    </comment>
    <comment ref="M207" authorId="2">
      <text>
        <r>
          <rPr>
            <b/>
            <sz val="9"/>
            <color indexed="81"/>
            <rFont val="Tahoma"/>
            <family val="2"/>
          </rPr>
          <t>ismail - [2010]:</t>
        </r>
        <r>
          <rPr>
            <sz val="9"/>
            <color indexed="81"/>
            <rFont val="Tahoma"/>
            <family val="2"/>
          </rPr>
          <t xml:space="preserve">
Vốn năm 2021: 
Vốn năm 2022:
Vốn năm 2023: 4.000
Vốn năm 2024: 16.800</t>
        </r>
      </text>
    </comment>
    <comment ref="M209" authorId="2">
      <text>
        <r>
          <rPr>
            <b/>
            <sz val="9"/>
            <color indexed="81"/>
            <rFont val="Tahoma"/>
            <family val="2"/>
          </rPr>
          <t>ismail - [2010]:</t>
        </r>
        <r>
          <rPr>
            <sz val="9"/>
            <color indexed="81"/>
            <rFont val="Tahoma"/>
            <family val="2"/>
          </rPr>
          <t xml:space="preserve">
Vốn năm 2021: 
Vốn năm 2022:
Vốn năm 2023: 4.089
Vốn năm 2024: 1.161</t>
        </r>
      </text>
    </comment>
    <comment ref="M210" authorId="2">
      <text>
        <r>
          <rPr>
            <b/>
            <sz val="9"/>
            <color indexed="81"/>
            <rFont val="Tahoma"/>
            <family val="2"/>
          </rPr>
          <t>ismail - [2010]:</t>
        </r>
        <r>
          <rPr>
            <sz val="9"/>
            <color indexed="81"/>
            <rFont val="Tahoma"/>
            <family val="2"/>
          </rPr>
          <t xml:space="preserve">
Vốn năm 2021: 
Vốn năm 2022:
Vốn năm 2023: 1.500
Vốn năm 2024: </t>
        </r>
      </text>
    </comment>
    <comment ref="M211" authorId="2">
      <text>
        <r>
          <rPr>
            <b/>
            <sz val="9"/>
            <color indexed="81"/>
            <rFont val="Tahoma"/>
            <family val="2"/>
          </rPr>
          <t>ismail - [2010]:</t>
        </r>
        <r>
          <rPr>
            <sz val="9"/>
            <color indexed="81"/>
            <rFont val="Tahoma"/>
            <family val="2"/>
          </rPr>
          <t xml:space="preserve">
Vốn năm 2021: 
Vốn năm 2022:
Vốn năm 2023: 2.160
Vốn năm 2024: 529</t>
        </r>
      </text>
    </comment>
    <comment ref="M212" authorId="2">
      <text>
        <r>
          <rPr>
            <b/>
            <sz val="9"/>
            <color indexed="81"/>
            <rFont val="Tahoma"/>
            <family val="2"/>
          </rPr>
          <t>ismail - [2010]:</t>
        </r>
        <r>
          <rPr>
            <sz val="9"/>
            <color indexed="81"/>
            <rFont val="Tahoma"/>
            <family val="2"/>
          </rPr>
          <t xml:space="preserve">
Vốn năm 2021: 
Vốn năm 2022:
Vốn năm 2023: 
Vốn năm 2024: 1.000</t>
        </r>
      </text>
    </comment>
    <comment ref="M216" authorId="2">
      <text>
        <r>
          <rPr>
            <b/>
            <sz val="9"/>
            <color indexed="81"/>
            <rFont val="Tahoma"/>
            <family val="2"/>
          </rPr>
          <t>ismail - [2010]:</t>
        </r>
        <r>
          <rPr>
            <sz val="9"/>
            <color indexed="81"/>
            <rFont val="Tahoma"/>
            <family val="2"/>
          </rPr>
          <t xml:space="preserve">
Vốn năm 2021: 
Vốn năm 2022:
Vốn năm 2023: 2.363
Vốn năm 2024: 656</t>
        </r>
      </text>
    </comment>
    <comment ref="M217" authorId="2">
      <text>
        <r>
          <rPr>
            <b/>
            <sz val="9"/>
            <color indexed="81"/>
            <rFont val="Tahoma"/>
            <family val="2"/>
          </rPr>
          <t>ismail - [2010]:</t>
        </r>
        <r>
          <rPr>
            <sz val="9"/>
            <color indexed="81"/>
            <rFont val="Tahoma"/>
            <family val="2"/>
          </rPr>
          <t xml:space="preserve">
Vốn năm 2021: 
Vốn năm 2022:
Vốn năm 2023: 3.700
Vốn năm 2024: 5.300</t>
        </r>
      </text>
    </comment>
    <comment ref="M218" authorId="2">
      <text>
        <r>
          <rPr>
            <b/>
            <sz val="9"/>
            <color indexed="81"/>
            <rFont val="Tahoma"/>
            <family val="2"/>
          </rPr>
          <t>ismail - [2010]:</t>
        </r>
        <r>
          <rPr>
            <sz val="9"/>
            <color indexed="81"/>
            <rFont val="Tahoma"/>
            <family val="2"/>
          </rPr>
          <t xml:space="preserve">
Vốn năm 2021: 
Vốn năm 2022:
Vốn năm 2023: 
Vốn năm 2024: 1.083</t>
        </r>
      </text>
    </comment>
    <comment ref="M220" authorId="2">
      <text>
        <r>
          <rPr>
            <b/>
            <sz val="9"/>
            <color indexed="81"/>
            <rFont val="Tahoma"/>
            <family val="2"/>
          </rPr>
          <t>ismail - [2010]:</t>
        </r>
        <r>
          <rPr>
            <sz val="9"/>
            <color indexed="81"/>
            <rFont val="Tahoma"/>
            <family val="2"/>
          </rPr>
          <t xml:space="preserve">
Vốn năm 2021: 
Vốn năm 2022:
Vốn năm 2023: 
Vốn năm 2024: 2.000</t>
        </r>
      </text>
    </comment>
    <comment ref="M221" authorId="2">
      <text>
        <r>
          <rPr>
            <b/>
            <sz val="9"/>
            <color indexed="81"/>
            <rFont val="Tahoma"/>
            <family val="2"/>
          </rPr>
          <t>ismail - [2010]:</t>
        </r>
        <r>
          <rPr>
            <sz val="9"/>
            <color indexed="81"/>
            <rFont val="Tahoma"/>
            <family val="2"/>
          </rPr>
          <t xml:space="preserve">
Vốn năm 2021: 
Vốn năm 2022:
Vốn năm 2023: 
Vốn năm 2024: 581</t>
        </r>
      </text>
    </comment>
    <comment ref="J223" authorId="1">
      <text>
        <r>
          <rPr>
            <b/>
            <sz val="9"/>
            <color indexed="81"/>
            <rFont val="Tahoma"/>
            <family val="2"/>
          </rPr>
          <t>ICT:</t>
        </r>
        <r>
          <rPr>
            <sz val="9"/>
            <color indexed="81"/>
            <rFont val="Tahoma"/>
            <family val="2"/>
          </rPr>
          <t xml:space="preserve">
Điều chỉnh tổng mức đầu tư và NSTWW</t>
        </r>
      </text>
    </comment>
    <comment ref="J234" authorId="2">
      <text>
        <r>
          <rPr>
            <b/>
            <sz val="9"/>
            <color indexed="81"/>
            <rFont val="Tahoma"/>
            <family val="2"/>
          </rPr>
          <t>ismail - [2010]:</t>
        </r>
        <r>
          <rPr>
            <sz val="9"/>
            <color indexed="81"/>
            <rFont val="Tahoma"/>
            <family val="2"/>
          </rPr>
          <t xml:space="preserve">
TMĐT theo QĐ phê duyệt BCKTKT
</t>
        </r>
      </text>
    </comment>
    <comment ref="M234" authorId="0">
      <text>
        <r>
          <rPr>
            <b/>
            <sz val="14"/>
            <color indexed="81"/>
            <rFont val="Tahoma"/>
            <family val="2"/>
          </rPr>
          <t xml:space="preserve">Năm 2024: 1.500
</t>
        </r>
      </text>
    </comment>
    <comment ref="M235" authorId="0">
      <text>
        <r>
          <rPr>
            <sz val="14"/>
            <color indexed="81"/>
            <rFont val="Tahoma"/>
            <family val="2"/>
          </rPr>
          <t xml:space="preserve">
Năm 2024: 800</t>
        </r>
      </text>
    </comment>
    <comment ref="J236" authorId="2">
      <text>
        <r>
          <rPr>
            <b/>
            <sz val="9"/>
            <color indexed="81"/>
            <rFont val="Tahoma"/>
            <family val="2"/>
          </rPr>
          <t>ismail - [2010]:</t>
        </r>
        <r>
          <rPr>
            <sz val="9"/>
            <color indexed="81"/>
            <rFont val="Tahoma"/>
            <family val="2"/>
          </rPr>
          <t xml:space="preserve">
Giảm TMĐT theo QĐ phê duyệt BCKTKT
</t>
        </r>
      </text>
    </comment>
    <comment ref="M236" authorId="0">
      <text>
        <r>
          <rPr>
            <b/>
            <sz val="14"/>
            <color indexed="81"/>
            <rFont val="Tahoma"/>
            <family val="2"/>
          </rPr>
          <t>Năm 2024: 800</t>
        </r>
      </text>
    </comment>
    <comment ref="H237" authorId="1">
      <text>
        <r>
          <rPr>
            <b/>
            <sz val="9"/>
            <color indexed="81"/>
            <rFont val="Tahoma"/>
            <family val="2"/>
          </rPr>
          <t>ICT:</t>
        </r>
        <r>
          <rPr>
            <sz val="9"/>
            <color indexed="81"/>
            <rFont val="Tahoma"/>
            <family val="2"/>
          </rPr>
          <t xml:space="preserve">
THỜI GIAN THUC HIEN ĐA ĐIỀU CHIRH THEO QĐ 57/QĐ-SXD ngày 11/4/2024 (2023-2025)</t>
        </r>
      </text>
    </comment>
    <comment ref="J237" authorId="2">
      <text>
        <r>
          <rPr>
            <b/>
            <sz val="9"/>
            <color indexed="81"/>
            <rFont val="Tahoma"/>
            <family val="2"/>
          </rPr>
          <t>ismail - [2010]:</t>
        </r>
        <r>
          <rPr>
            <sz val="9"/>
            <color indexed="81"/>
            <rFont val="Tahoma"/>
            <family val="2"/>
          </rPr>
          <t xml:space="preserve">
Giảm TMĐT theo QĐ</t>
        </r>
      </text>
    </comment>
    <comment ref="M237" authorId="0">
      <text>
        <r>
          <rPr>
            <sz val="14"/>
            <color indexed="81"/>
            <rFont val="Tahoma"/>
            <family val="2"/>
          </rPr>
          <t>Năm 2024: 1.300</t>
        </r>
      </text>
    </comment>
    <comment ref="H238" authorId="1">
      <text>
        <r>
          <rPr>
            <b/>
            <sz val="9"/>
            <color indexed="81"/>
            <rFont val="Tahoma"/>
            <family val="2"/>
          </rPr>
          <t>ICT:</t>
        </r>
        <r>
          <rPr>
            <sz val="9"/>
            <color indexed="81"/>
            <rFont val="Tahoma"/>
            <family val="2"/>
          </rPr>
          <t xml:space="preserve">
THỜI GIAN THUC HIEN ĐA ĐIỀU CHIRH THEO QĐ 57/QĐ-SXD ngày 11/4/2024 (2023-2025)</t>
        </r>
      </text>
    </comment>
    <comment ref="M238" authorId="0">
      <text>
        <r>
          <rPr>
            <sz val="14"/>
            <color indexed="81"/>
            <rFont val="Tahoma"/>
            <family val="2"/>
          </rPr>
          <t>Năm 2024: 3.000</t>
        </r>
      </text>
    </comment>
    <comment ref="J239" authorId="1">
      <text>
        <r>
          <rPr>
            <b/>
            <sz val="9"/>
            <color indexed="81"/>
            <rFont val="Tahoma"/>
            <family val="2"/>
          </rPr>
          <t>ICT:</t>
        </r>
        <r>
          <rPr>
            <sz val="9"/>
            <color indexed="81"/>
            <rFont val="Tahoma"/>
            <family val="2"/>
          </rPr>
          <t xml:space="preserve">
Điều chỉnh lại là 3.947 triệu  đồng</t>
        </r>
      </text>
    </comment>
    <comment ref="K239" authorId="1">
      <text>
        <r>
          <rPr>
            <b/>
            <sz val="9"/>
            <color indexed="81"/>
            <rFont val="Tahoma"/>
            <family val="2"/>
          </rPr>
          <t>ICT:</t>
        </r>
        <r>
          <rPr>
            <sz val="9"/>
            <color indexed="81"/>
            <rFont val="Tahoma"/>
            <family val="2"/>
          </rPr>
          <t xml:space="preserve">
Điều chỉnh lại thành 1.987</t>
        </r>
      </text>
    </comment>
    <comment ref="M240" authorId="0">
      <text>
        <r>
          <rPr>
            <sz val="14"/>
            <color indexed="81"/>
            <rFont val="Tahoma"/>
            <family val="2"/>
          </rPr>
          <t>Năm 2024: 700</t>
        </r>
      </text>
    </comment>
    <comment ref="M243" authorId="0">
      <text>
        <r>
          <rPr>
            <sz val="14"/>
            <color indexed="81"/>
            <rFont val="Tahoma"/>
            <family val="2"/>
          </rPr>
          <t>Năm 2024: 1000</t>
        </r>
      </text>
    </comment>
  </commentList>
</comments>
</file>

<file path=xl/comments3.xml><?xml version="1.0" encoding="utf-8"?>
<comments xmlns="http://schemas.openxmlformats.org/spreadsheetml/2006/main">
  <authors>
    <author>tc={FCE3A93C-EF5C-40A1-BFA6-628447F29916}</author>
    <author>tc={E222AB69-BABE-4E01-9EA0-DC4F3896B726}</author>
    <author>tc={88E07330-B59F-4E0F-982F-CB3A8A24CDFB}</author>
    <author>tc={6F5B0FD4-8B08-428D-AC99-2A0EC7DF250E}</author>
    <author>tc={4CC4FBAC-2464-4474-A941-BD7DFD4053A3}</author>
    <author>tc={81FA8CC6-742C-4F47-A62D-5D4D4478DFD8}</author>
    <author>tc={A2962587-36B2-4ABA-B6AE-02C7E680A5DB}</author>
    <author>tc={AF6419A9-17F6-49C9-BA0A-00C78AB0EABC}</author>
    <author>tc={5D5673D6-A76E-4E50-A701-C649FCF0CFA7}</author>
    <author>tc={2888E0AB-89DE-4AF1-8B05-AB13C510C4A3}</author>
    <author>tc={D0A63D4C-BAD6-465F-8289-40C5529C234E}</author>
    <author>tc={7CE1D1B9-23C8-4A98-8372-B5A191E080C0}</author>
    <author>tc={1814FBA6-9AD1-42B7-A05B-345BAEACE897}</author>
    <author>tc={26C41B6D-8422-4EE8-B26F-A36A43FCD93D}</author>
    <author>tc={AF904564-453C-4BDA-BABB-871C0161ECB1}</author>
    <author>tc={8904149C-B339-4EB8-B6F7-F85B77C591A5}</author>
    <author>tc={E8851B0D-6D38-421D-AEFF-EC6D524D1895}</author>
    <author>tc={A9E96DF5-7874-43E3-9F3E-5B911924D54E}</author>
    <author>tc={2958A4CC-E43D-4204-82EF-819521594D8D}</author>
    <author>tc={D426A3F8-E29E-4816-8C59-9F9E55C80F56}</author>
    <author>tc={288BC517-8D5F-4C39-A6B0-0094B1BF36A0}</author>
    <author>tc={00ECA5D5-0A36-4E5B-8022-E30479F113C6}</author>
    <author>tc={6182FA2B-D31B-4442-988A-899012E222F0}</author>
    <author>tc={417C04CE-9E1F-40A3-9733-AAC78EC4EB89}</author>
    <author>tc={1289A7D1-8947-4662-8E4E-6FC36626A3D4}</author>
    <author>tc={5076211D-CC89-4A77-810D-78211B57A6D5}</author>
    <author>tc={862C1E30-28DD-41FA-AA34-22D619606EC0}</author>
    <author>tc={CF5EB65B-8848-445A-AAB0-5D4367D8D6B4}</author>
    <author>tc={231BB914-3EA3-48A0-9A2C-88BBAFF3339B}</author>
    <author>tc={40F1708A-FB40-4429-8503-1067185C96C7}</author>
    <author>tc={F127E06C-0845-4659-AB1F-C424263AB362}</author>
    <author>tc={C42D38BE-8FFB-4D60-AE3E-4A781D377F33}</author>
    <author>tc={337E27B0-1189-43AC-8A4D-BF1D445D17D9}</author>
    <author>tc={C27FC583-ADE2-4B7C-9658-F441EFA10906}</author>
    <author>tc={6D0C6F56-6CC3-4EE7-A95F-FA985269CB23}</author>
    <author>tc={A6FB53F7-B5F5-4A03-85AA-E2A41965201D}</author>
    <author>tc={7118632A-58B6-46F4-9FC6-C89EB5BDCB1B}</author>
    <author>tc={4288E58A-741A-4156-B81F-EB2ABD85724F}</author>
    <author>tc={428A9420-D78C-46AA-81F1-8A2C43B97B64}</author>
    <author>tc={EB7FBBDB-9359-4C42-99CE-089E7513F911}</author>
    <author>tc={E3900EBB-5AA3-4B19-850E-16EB7E6CCB49}</author>
    <author>tc={0346C4E3-C934-4E8A-B47E-F47DF4140DD2}</author>
    <author>tc={4C7BB9A7-CEE3-46DC-8A2C-76C109E2521F}</author>
    <author>tc={6C746103-1DC2-44BE-8A4E-D34B0F80D6CF}</author>
    <author>tc={84982117-DCEE-49FA-A07C-7252E09D3E4D}</author>
    <author>tc={A4E644F7-C0D4-4AAB-B7B7-72862D11CC6B}</author>
    <author>tc={377A39A5-B025-4A98-99C9-F77F1157BBF9}</author>
    <author>tc={503800AE-31EF-4087-8194-4C49DC75F27C}</author>
    <author>tc={4CED38E3-BB0A-4BD8-878E-E606E584886B}</author>
    <author>tc={3BA094AC-E326-4A22-8AFD-C30B60044185}</author>
    <author>tc={47F7F0D6-5A8A-4FA1-A82B-C7244666ACFB}</author>
    <author>tc={0C017493-13BF-4114-AA3E-92E6FA329AD3}</author>
    <author>tc={834DEC39-CE44-4583-B179-97646B5798BC}</author>
    <author>tc={87BD44FA-53FA-4053-8124-2F37C9D1D686}</author>
    <author>tc={CE367BB3-4719-432B-A4F4-749BC6B4BCC8}</author>
    <author>tc={3BEF7957-5052-4472-B775-8D3019FE4AA0}</author>
    <author>tc={048B6FC3-1C23-4648-8B79-B70D2161BD1F}</author>
    <author>tc={515C4785-1F38-4274-B192-4A95927D804D}</author>
    <author>tc={3EF8D96E-7EF7-4DA9-AC34-A27A1136A2BF}</author>
    <author>tc={3147D2F0-4AF3-4009-9F9A-910527482066}</author>
    <author>tc={4BCAA0FD-3AA2-4BF9-BA39-E2C34EFF8A23}</author>
    <author>tc={93182004-2701-4D9C-B35E-172A9558D38F}</author>
    <author>tc={FF2DC19D-D8AF-4AF3-A43D-12A8ECE92760}</author>
    <author>tc={0484FF58-1FA1-4040-BAE5-B5561ACF92F7}</author>
    <author>tc={2268AC66-B144-425D-A602-7785AA2167EA}</author>
    <author>tc={F3DE0938-4429-43C5-8D23-ECD32EF15DA6}</author>
    <author>tc={878BA20F-CACE-4E7E-B5AC-539A6CC360E5}</author>
    <author>tc={835FAC54-F1DD-41DC-8CB0-33F4BBC14A0A}</author>
    <author>tc={853F861C-4B2F-4FD4-B7B3-63E67E1BEF31}</author>
    <author>tc={8427F90E-28FC-40BF-84B8-11FC4AE312AF}</author>
    <author>tc={D5CEED1C-3525-4E69-8E58-D844FFF0CDFC}</author>
    <author>tc={88ED246B-02FC-4EA6-AA4F-B54AE9F6371D}</author>
    <author>tc={9EB49E62-E186-4377-8BA5-B6780D91BE7D}</author>
    <author>tc={21BF6553-1294-4E2E-9CAE-6A00D4274663}</author>
    <author>tc={AC1056A3-AEC5-4E01-B4AE-27B48A236F1D}</author>
    <author>tc={044D7F4D-035B-4D48-B75C-EAAF77CB73A7}</author>
    <author>tc={FD02880A-8D6F-4577-8C96-5A25E55B2A23}</author>
    <author>tc={F6518808-2240-4FCC-B45B-C6FC73FB8CA4}</author>
    <author>tc={424210DD-923E-4087-A053-DC8C312841D9}</author>
    <author>tc={654BB8A5-E45D-49D0-8410-9B0EF2F0D8BC}</author>
    <author>tc={BD973F1F-1297-44EF-AE96-84C8598A21B1}</author>
    <author>tc={C234D3C5-0195-47F0-B6C1-9380EDF3256C}</author>
    <author>tc={2CA1983D-C9EF-4BBE-9571-22598B666667}</author>
    <author>tc={14826172-F9DD-4DFF-B5C2-40B7F34417A9}</author>
    <author>tc={14074671-8825-481F-8DDE-81EFDB12217F}</author>
    <author>tc={3CEF47CD-6F15-49C8-A17F-D0680B4B8A54}</author>
    <author>tc={9D24A805-AFE3-4D66-A92A-4495EAFBB96A}</author>
    <author>tc={A4B4B643-20EB-4592-8750-A33066F15CAB}</author>
    <author>tc={3F5BD54D-DA37-4AF1-AA9D-8A275CBBAB11}</author>
    <author>tc={FD0EB3EE-BDD7-48D5-A2EF-AE69FEB1B279}</author>
    <author>tc={789470B5-B74E-42E4-AED5-5A148DCCA96A}</author>
    <author>tc={9B7F6664-015A-4F6B-97A4-84A3876D0F2C}</author>
    <author>tc={37D55110-1277-45E6-BBC4-7C0BE61FDCF0}</author>
    <author>tc={445E9678-A519-49C4-881B-5F78561431E9}</author>
    <author>tc={EC962555-944B-4116-A400-B68A7E97B569}</author>
    <author>tc={1AA913BC-8E72-44BC-B95F-797803CB75C6}</author>
    <author>tc={BD084AB0-F458-4E5F-850D-A1A9F930F652}</author>
    <author>tc={8A327390-2903-472C-B295-389CD8F241F1}</author>
    <author>tc={F5F61F7F-AD54-4DE8-AFB6-A3D3E9ECB980}</author>
    <author>tc={6F776630-351A-41A4-8176-69459B686DBA}</author>
    <author>tc={E329E53E-E7DA-47C9-ADFF-4DE562F465D1}</author>
    <author>tc={97C8A680-4D87-4F46-BE5B-8E9E7AC1B639}</author>
    <author>tc={E65EFEC7-52DD-46E4-AF8D-EBA99AA7CED1}</author>
    <author>tc={B6348A9B-ADA2-4504-A5B3-B215502F3D9F}</author>
    <author>tc={AEA77C26-A6FB-4543-AD83-10CA5B5A7DD0}</author>
    <author>tc={F13C1F2F-E707-473D-9422-1B5D8AA6FD5D}</author>
    <author>tc={B6A034BD-D3AA-4A6F-8904-900891A32FF0}</author>
  </authors>
  <commentList>
    <comment ref="M13"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2022: 595</t>
        </r>
      </text>
    </comment>
    <comment ref="M15" authorI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2022: 1.349</t>
        </r>
      </text>
    </comment>
    <comment ref="M16" authorId="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2022: 4.300;  2023: 26</t>
        </r>
      </text>
    </comment>
    <comment ref="M17" authorI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2024: 750</t>
        </r>
      </text>
    </comment>
    <comment ref="M18" authorId="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2024: 2.000</t>
        </r>
      </text>
    </comment>
    <comment ref="M19" authorI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2024: 1.253</t>
        </r>
      </text>
    </comment>
    <comment ref="M22" authorId="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2022: 1.800; 2023: 93</t>
        </r>
      </text>
    </comment>
    <comment ref="M23" authorId="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2022: 2.500; 2023: 298</t>
        </r>
      </text>
    </comment>
    <comment ref="M24" authorI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2024: 741</t>
        </r>
      </text>
    </comment>
    <comment ref="M25" authorId="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2024: 1.800</t>
        </r>
      </text>
    </comment>
    <comment ref="M26" authorId="1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2024: 833</t>
        </r>
      </text>
    </comment>
    <comment ref="M27" authorId="1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2024: 1.069</t>
        </r>
      </text>
    </comment>
    <comment ref="M31" authorId="1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2022: 897</t>
        </r>
      </text>
    </comment>
    <comment ref="M32" authorId="1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2022: 1.398</t>
        </r>
      </text>
    </comment>
    <comment ref="M33" authorId="1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2023: 819</t>
        </r>
      </text>
    </comment>
    <comment ref="M34" authorId="1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1.288</t>
        </r>
      </text>
    </comment>
    <comment ref="M35" authorId="1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8.999</t>
        </r>
      </text>
    </comment>
    <comment ref="M36" authorId="1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1.599</t>
        </r>
      </text>
    </comment>
    <comment ref="M39" authorId="1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2.665; Năm 2023: 117</t>
        </r>
      </text>
    </comment>
    <comment ref="M40" authorId="1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1.953</t>
        </r>
      </text>
    </comment>
    <comment ref="M41" authorId="2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1.800</t>
        </r>
      </text>
    </comment>
    <comment ref="M42" authorId="2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900</t>
        </r>
      </text>
    </comment>
    <comment ref="M43" authorId="2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2.000</t>
        </r>
      </text>
    </comment>
    <comment ref="M46" authorId="2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1.100</t>
        </r>
      </text>
    </comment>
    <comment ref="M47" authorId="2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5.100; Năm 2023: 120</t>
        </r>
      </text>
    </comment>
    <comment ref="M48" authorId="2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1.000</t>
        </r>
      </text>
    </comment>
    <comment ref="M50" authorId="2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680</t>
        </r>
      </text>
    </comment>
    <comment ref="M51" authorId="2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1.500</t>
        </r>
      </text>
    </comment>
    <comment ref="M54" authorId="2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1.700</t>
        </r>
      </text>
    </comment>
    <comment ref="M55" authorId="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3.599</t>
        </r>
      </text>
    </comment>
    <comment ref="M56" authorId="3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1.677</t>
        </r>
      </text>
    </comment>
    <comment ref="M57" authorId="3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2.200</t>
        </r>
      </text>
    </comment>
    <comment ref="M60" authorId="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5.824</t>
        </r>
      </text>
    </comment>
    <comment ref="M63" authorId="3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4.900; Năm 2023: 230</t>
        </r>
      </text>
    </comment>
    <comment ref="M64" authorId="3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950</t>
        </r>
      </text>
    </comment>
    <comment ref="M65" authorId="3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2.000</t>
        </r>
      </text>
    </comment>
    <comment ref="M66" authorId="3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1.500</t>
        </r>
      </text>
    </comment>
    <comment ref="M69" authorId="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6.700; Năm 2023: 2.676</t>
        </r>
      </text>
    </comment>
    <comment ref="M70" authorId="3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950</t>
        </r>
      </text>
    </comment>
    <comment ref="M71" authorId="3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3.201</t>
        </r>
      </text>
    </comment>
    <comment ref="M75" authorId="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650</t>
        </r>
      </text>
    </comment>
    <comment ref="M77" authorId="4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1.500; Năm 2023: 385</t>
        </r>
      </text>
    </comment>
    <comment ref="M78" authorId="4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7.906; Năm 2023: 744</t>
        </r>
      </text>
    </comment>
    <comment ref="M79" authorId="4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873</t>
        </r>
      </text>
    </comment>
    <comment ref="M80" authorId="4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1.017</t>
        </r>
      </text>
    </comment>
    <comment ref="M81" authorId="4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1.125</t>
        </r>
      </text>
    </comment>
    <comment ref="M82" authorId="4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800</t>
        </r>
      </text>
    </comment>
    <comment ref="M85" authorId="4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790</t>
        </r>
      </text>
    </comment>
    <comment ref="M87" authorId="4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800; Năm 2023: 98</t>
        </r>
      </text>
    </comment>
    <comment ref="M88" authorId="4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370; Năm 2023: 35</t>
        </r>
      </text>
    </comment>
    <comment ref="M89" authorId="5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6.000; Năm 2023: 1.650</t>
        </r>
      </text>
    </comment>
    <comment ref="M90" authorId="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1.940; Năm 2024: 1.345</t>
        </r>
      </text>
    </comment>
    <comment ref="M91" authorId="5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1.972</t>
        </r>
      </text>
    </comment>
    <comment ref="M94" authorId="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5.500; Năm 2023: 841</t>
        </r>
      </text>
    </comment>
    <comment ref="M95" authorId="5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4.100; Năm 2023: 1.030</t>
        </r>
      </text>
    </comment>
    <comment ref="M96" authorId="5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800; Năm 2024: 1.866</t>
        </r>
      </text>
    </comment>
    <comment ref="M101" authorId="5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1.409</t>
        </r>
      </text>
    </comment>
    <comment ref="M103" authorId="5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1.112</t>
        </r>
      </text>
    </comment>
    <comment ref="M104" authorId="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3.017</t>
        </r>
      </text>
    </comment>
    <comment ref="M105" authorId="5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3.000; Năm 2024: 519</t>
        </r>
      </text>
    </comment>
    <comment ref="M106" authorId="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1.677</t>
        </r>
      </text>
    </comment>
    <comment ref="M111" authorId="6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203</t>
        </r>
      </text>
    </comment>
    <comment ref="M113" authorId="6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2.213</t>
        </r>
      </text>
    </comment>
    <comment ref="M114" authorId="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2.840</t>
        </r>
      </text>
    </comment>
    <comment ref="M115" authorId="6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1.600; Măm 2024: 160</t>
        </r>
      </text>
    </comment>
    <comment ref="M116" authorId="6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3.000</t>
        </r>
      </text>
    </comment>
    <comment ref="M117" authorId="6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1.400</t>
        </r>
      </text>
    </comment>
    <comment ref="M122" authorId="6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558</t>
        </r>
      </text>
    </comment>
    <comment ref="M124" authorId="6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1.688; Năm 2023: 20</t>
        </r>
      </text>
    </comment>
    <comment ref="M125" authorId="6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2.598</t>
        </r>
      </text>
    </comment>
    <comment ref="M126" authorId="7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3.000; Năm 2024: 318</t>
        </r>
      </text>
    </comment>
    <comment ref="M127" authorId="7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900</t>
        </r>
      </text>
    </comment>
    <comment ref="M129" authorId="7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2.400</t>
        </r>
      </text>
    </comment>
    <comment ref="M133" authorId="7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373</t>
        </r>
      </text>
    </comment>
    <comment ref="M135" authorId="7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1.616</t>
        </r>
      </text>
    </comment>
    <comment ref="M136" authorId="7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4.200; Năm 2023: 195</t>
        </r>
      </text>
    </comment>
    <comment ref="M137" authorId="7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3.712; Năm 2024: 1.495</t>
        </r>
      </text>
    </comment>
    <comment ref="M139" authorId="7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900</t>
        </r>
      </text>
    </comment>
    <comment ref="M140" authorId="7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1.253</t>
        </r>
      </text>
    </comment>
    <comment ref="M144" authorId="7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2.122</t>
        </r>
      </text>
    </comment>
    <comment ref="M145" authorId="8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4.498</t>
        </r>
      </text>
    </comment>
    <comment ref="M146" authorId="8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1.758</t>
        </r>
      </text>
    </comment>
    <comment ref="M147" authorId="8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1.800</t>
        </r>
      </text>
    </comment>
    <comment ref="M148" authorId="8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1.400</t>
        </r>
      </text>
    </comment>
    <comment ref="M152" authorId="8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3.061</t>
        </r>
      </text>
    </comment>
    <comment ref="M153" authorId="8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3.714</t>
        </r>
      </text>
    </comment>
    <comment ref="M154" authorId="8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2.160</t>
        </r>
      </text>
    </comment>
    <comment ref="M155" authorId="8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3.165</t>
        </r>
      </text>
    </comment>
    <comment ref="M159" authorId="8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2.489</t>
        </r>
      </text>
    </comment>
    <comment ref="M160" authorId="8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6.987; Năm 2023: 55</t>
        </r>
      </text>
    </comment>
    <comment ref="M161" authorId="9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2.550; Năm 2024: 614</t>
        </r>
      </text>
    </comment>
    <comment ref="M162" authorId="9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1.915</t>
        </r>
      </text>
    </comment>
    <comment ref="M165" authorId="9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3.150</t>
        </r>
      </text>
    </comment>
    <comment ref="M166" authorId="9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3.870</t>
        </r>
      </text>
    </comment>
    <comment ref="M167" authorId="9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3.594; Năm 2024: 2.403</t>
        </r>
      </text>
    </comment>
    <comment ref="M169" authorId="9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1.400</t>
        </r>
      </text>
    </comment>
    <comment ref="M172" authorId="9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1.569</t>
        </r>
      </text>
    </comment>
    <comment ref="M173" authorId="9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4.182</t>
        </r>
      </text>
    </comment>
    <comment ref="M174" authorId="9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3.000; Năm 2024: 3.176</t>
        </r>
      </text>
    </comment>
    <comment ref="M175" authorId="9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1.200</t>
        </r>
      </text>
    </comment>
    <comment ref="M176" authorId="1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2024: 1.200</t>
        </r>
      </text>
    </comment>
    <comment ref="M180" authorId="10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1.400; Năm 2023: 372</t>
        </r>
      </text>
    </comment>
    <comment ref="M181" authorId="1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Na8km 2022: 1.000; Năm 2023: 120</t>
        </r>
      </text>
    </comment>
    <comment ref="M182" authorId="10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2022: 2.000; Năm 2023: 330</t>
        </r>
      </text>
    </comment>
    <comment ref="M183" authorId="10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1.525</t>
        </r>
      </text>
    </comment>
    <comment ref="M184" authorId="10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2.548; Năm 2024: 2.000</t>
        </r>
      </text>
    </comment>
    <comment ref="M185" authorId="1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Năm 2023: 2.800; Năm 2024: 3.000</t>
        </r>
      </text>
    </comment>
  </commentList>
</comments>
</file>

<file path=xl/sharedStrings.xml><?xml version="1.0" encoding="utf-8"?>
<sst xmlns="http://schemas.openxmlformats.org/spreadsheetml/2006/main" count="8315" uniqueCount="3286">
  <si>
    <t>Biểu mẫu số 2</t>
  </si>
  <si>
    <t>Đơn vị báo cáo:</t>
  </si>
  <si>
    <t>(Ban hành kèm theo Thông tư số                /TT-BKHĐT ngày       tháng       năm 2016 của Bộ Kế hoạch và Đầu tư)</t>
  </si>
  <si>
    <t>Ủy ban nhân dân các tỉnh, thành phố trực thuộc trung ương</t>
  </si>
  <si>
    <t>Tỉnh/thành phố trực thuộc Trung ương………</t>
  </si>
  <si>
    <t>TỔNG HỢP TÌNH HÌNH THỰC HIỆN KẾ HOẠCH ĐẦU TƯ PHÁT TRIỂN 5 NĂM GIAI ĐOẠN N VÀ DỰ KIẾN KẾ HOẠCH 5 NĂM GIAI ĐOẠN N+1 THEO NGÀNH, LĨNH VỰC</t>
  </si>
  <si>
    <t>Đơn vị: Triệu đồng</t>
  </si>
  <si>
    <t>STT</t>
  </si>
  <si>
    <t>Ngành, lĩnh vực</t>
  </si>
  <si>
    <t>Giai đoạn N</t>
  </si>
  <si>
    <t>Giai đoạn N+1</t>
  </si>
  <si>
    <t>Ghi chú</t>
  </si>
  <si>
    <r>
      <rPr>
        <sz val="14"/>
        <color indexed="8"/>
        <rFont val="Times New Roman"/>
        <family val="1"/>
      </rPr>
      <t xml:space="preserve">Kế hoạch và bổ sung vốn từ năm đầu tiên đến năm thứ 4 của giai đoạn N được cấp có thẩm quyền quyết định </t>
    </r>
    <r>
      <rPr>
        <vertAlign val="superscript"/>
        <sz val="14"/>
        <color indexed="8"/>
        <rFont val="Times New Roman"/>
        <family val="1"/>
      </rPr>
      <t>(1)</t>
    </r>
  </si>
  <si>
    <r>
      <rPr>
        <sz val="14"/>
        <color indexed="8"/>
        <rFont val="Times New Roman"/>
        <family val="1"/>
      </rPr>
      <t xml:space="preserve">Ước giải ngân kế hoạch và số vốn bổ sung từ năm đầu tiên đến năm thứ 4 của giai đoạn N đến hết thời gian quy định </t>
    </r>
    <r>
      <rPr>
        <vertAlign val="superscript"/>
        <sz val="14"/>
        <color indexed="8"/>
        <rFont val="Times New Roman"/>
        <family val="1"/>
      </rPr>
      <t>(1)</t>
    </r>
  </si>
  <si>
    <t>Dự kiến kế hoạch năm thứ năm của giai đoạn N</t>
  </si>
  <si>
    <t>Nhu cầu đầu tư 5 năm giai đoạn N+1</t>
  </si>
  <si>
    <t>Dự kiến kế hoạch 5 năm giai đoạn N+1</t>
  </si>
  <si>
    <t>Tổng số</t>
  </si>
  <si>
    <t>NSNN</t>
  </si>
  <si>
    <t>TPCP</t>
  </si>
  <si>
    <r>
      <rPr>
        <sz val="14"/>
        <color indexed="8"/>
        <rFont val="Times New Roman"/>
        <family val="1"/>
      </rPr>
      <t xml:space="preserve">Trái phiếu chính quyền địa phương và các khoản vốn vay khác của NSĐP để đầu tư </t>
    </r>
    <r>
      <rPr>
        <vertAlign val="superscript"/>
        <sz val="14"/>
        <color indexed="8"/>
        <rFont val="Times New Roman"/>
        <family val="1"/>
      </rPr>
      <t>(2)</t>
    </r>
  </si>
  <si>
    <t>Tín dụng ĐTPT của nhà nước</t>
  </si>
  <si>
    <t>Từ nguồn thu để lại cho đầu tư nhưng chưa đưa vào cân đối NSĐP</t>
  </si>
  <si>
    <t>Các nguồn vốn khác (nếu có)</t>
  </si>
  <si>
    <t>Từ nguồn thu để lại cho đầu tư nhưng chưa đưa vào cân đối NSNN</t>
  </si>
  <si>
    <t>NSTW</t>
  </si>
  <si>
    <t>NSĐP</t>
  </si>
  <si>
    <t>TỔNG SỐ</t>
  </si>
  <si>
    <t>1</t>
  </si>
  <si>
    <t>Nông nghiệp, lâm nghiệp, thủy lợi và thủy sản</t>
  </si>
  <si>
    <t>2</t>
  </si>
  <si>
    <t>Công nghiệp</t>
  </si>
  <si>
    <t>3</t>
  </si>
  <si>
    <t>Thương mại</t>
  </si>
  <si>
    <t>4</t>
  </si>
  <si>
    <t>Giao thông</t>
  </si>
  <si>
    <t>5</t>
  </si>
  <si>
    <t>Cấp nước và xử lý rác thải, nước thải</t>
  </si>
  <si>
    <t>6</t>
  </si>
  <si>
    <t>Kho tàng</t>
  </si>
  <si>
    <t>7</t>
  </si>
  <si>
    <t>Văn hóa</t>
  </si>
  <si>
    <t>8</t>
  </si>
  <si>
    <t>Thể thao</t>
  </si>
  <si>
    <t>9</t>
  </si>
  <si>
    <t>Du lịch</t>
  </si>
  <si>
    <t>10</t>
  </si>
  <si>
    <t>Khoa học, công nghệ</t>
  </si>
  <si>
    <t>11</t>
  </si>
  <si>
    <t>Thông tin</t>
  </si>
  <si>
    <t>12</t>
  </si>
  <si>
    <t>Truyền thông</t>
  </si>
  <si>
    <t>13</t>
  </si>
  <si>
    <t>Công nghệ thông tin</t>
  </si>
  <si>
    <t>14</t>
  </si>
  <si>
    <t>Giáo dục, đào tạo và giáo dục nghề nghiệp</t>
  </si>
  <si>
    <t>15</t>
  </si>
  <si>
    <t>Y tế, dân số và vệ sinh an toàn thực phẩm</t>
  </si>
  <si>
    <t>16</t>
  </si>
  <si>
    <t>Xã hội</t>
  </si>
  <si>
    <t>17</t>
  </si>
  <si>
    <t>Tài nguyên và môi trường</t>
  </si>
  <si>
    <t>18</t>
  </si>
  <si>
    <t>Quản lý nhà nước</t>
  </si>
  <si>
    <t>19</t>
  </si>
  <si>
    <t>Quốc phòng, an ninh</t>
  </si>
  <si>
    <t>20</t>
  </si>
  <si>
    <t>Dự trữ quốc gia</t>
  </si>
  <si>
    <r>
      <rPr>
        <i/>
        <sz val="16"/>
        <color indexed="8"/>
        <rFont val="Times New Roman"/>
        <family val="1"/>
      </rP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2011-2014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</si>
  <si>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Danh mục dự án</t>
  </si>
  <si>
    <t>Nhóm dự án</t>
  </si>
  <si>
    <t>Quyết định chủ trương đầu tư/Quyết định đầu tư</t>
  </si>
  <si>
    <t>Số quyết định; ngày, tháng, năm ban hành</t>
  </si>
  <si>
    <t xml:space="preserve">TMĐT </t>
  </si>
  <si>
    <t>Tổng số (tất cả các nguồn vốn)</t>
  </si>
  <si>
    <t>Trong đó:</t>
  </si>
  <si>
    <t xml:space="preserve">Trong đó: Vốn đầu tư trong cân đối theo tiêu chí, định mức quy định tại quyết định số 26/2020/QĐ-TTg </t>
  </si>
  <si>
    <t>Trong đó: Vốn đầu tư từ nguồn thu sử dụng đất</t>
  </si>
  <si>
    <t>Vốn đầu tư từ nguồn thu sử dụng đất</t>
  </si>
  <si>
    <t>Vốn đầu tư từ nguồn tăng thu sử dụng đất</t>
  </si>
  <si>
    <t>Vốn đầu tư từ Nguồn tăng thu ngân sách địa phương</t>
  </si>
  <si>
    <t>Vốn đầu tư trong cân đối theo tiêu chí, định mức quy định tại Quyết định số 26/2020/QĐ-TTg</t>
  </si>
  <si>
    <t>Trong đó</t>
  </si>
  <si>
    <t>Vốn đầu tư từ nguồn bội chi ngân sách địa phương</t>
  </si>
  <si>
    <t>Thu hồi tạm ứng ngân sách</t>
  </si>
  <si>
    <t>Thanh toán nợ đọng</t>
  </si>
  <si>
    <t>A</t>
  </si>
  <si>
    <t>CHUẨN BỊ ĐẦU TƯ</t>
  </si>
  <si>
    <t>B</t>
  </si>
  <si>
    <t>C</t>
  </si>
  <si>
    <t>Lập Quy hoạch tỉnh Bến Tre thời kỳ 2021-2030, tầm nhìn đến năm 2050</t>
  </si>
  <si>
    <t>D</t>
  </si>
  <si>
    <t>E</t>
  </si>
  <si>
    <t>G</t>
  </si>
  <si>
    <t>H</t>
  </si>
  <si>
    <t>I</t>
  </si>
  <si>
    <t>THỰC HIỆN DỰ ÁN</t>
  </si>
  <si>
    <t>Dự án chuyển tiếp từ giai đoạn năm 2016 đến năm 2020 sang giai đoạn từ năm 2021 đến năm 2025</t>
  </si>
  <si>
    <t>b)</t>
  </si>
  <si>
    <t>Dự án chuyển tiếp sang giai đoạn từ năm 2021 đến năm 2025</t>
  </si>
  <si>
    <t>Đầu tư xây dựng CSHT Khu Công nghiệp Phú Thuận</t>
  </si>
  <si>
    <t>1025/QĐ-UBND ngày 16/5/2019</t>
  </si>
  <si>
    <t>Đầu tư CSHT phục vụ kêu gọi đầu tư huyện Châu Thành tỉnh Bến Tre (giai đoạn 2)</t>
  </si>
  <si>
    <t>2417/QĐ-UBND ngày 31/10/2019</t>
  </si>
  <si>
    <t>Đầu tư xây dựng kết cấu hạ tầng Cụm công nghiệp, tiểu thủ công nghiệp Phong Nẫm</t>
  </si>
  <si>
    <t>2178/QĐ-UB 16/9/2016</t>
  </si>
  <si>
    <t>Dự án khởi công mới trong giai đoạn từ năm 2021 đến năm 2025</t>
  </si>
  <si>
    <t>Xây dựng CSHT khu TĐC phục vụ Khu Công nghiệp Phú Thuận</t>
  </si>
  <si>
    <t>2418/QĐ-UBND ngày 30/10/2019</t>
  </si>
  <si>
    <t>II</t>
  </si>
  <si>
    <t>LĨNH VỰC NÔNG NGHIỆP &amp; PTNT</t>
  </si>
  <si>
    <t>Khu neo đậu tránh trú bão tàu cá kết hợp cảng cá Ba Tri</t>
  </si>
  <si>
    <t>2314/QĐ-UBND ngày 30/10/2015</t>
  </si>
  <si>
    <t xml:space="preserve">Đối ứng vốn NSTW </t>
  </si>
  <si>
    <t>Kè chống xói lở bờ sông Mỏ Cày, huyện Mỏ Cày Nam, tỉnh Bến Tre (bờ Nam)</t>
  </si>
  <si>
    <t>1155/QĐ-UBND ngày 21/5/2020</t>
  </si>
  <si>
    <t>Dự án Hạ tầng vùng nuôi tôm ứng dụng công nghệ cao huyện Ba Tri, tỉnh Bến Tre</t>
  </si>
  <si>
    <t>Đối ứng Bộ NNPTNT</t>
  </si>
  <si>
    <t>Xây dựng đê bao ngăn mặn kết hợp đường giao thông nối liền các huyện biển Bình Đại, Ba Tri, Thạnh Phú</t>
  </si>
  <si>
    <t>2300/QĐ-UBND ngày 24/10/2018</t>
  </si>
  <si>
    <t xml:space="preserve">Chống chịu khí hậu tổng hợp và sinh kế bền vững Đồng bằng Sông Cửu Long (MD-ICRSL) WB9 </t>
  </si>
  <si>
    <t>1039/QĐ-UB 9/5/2016</t>
  </si>
  <si>
    <t>III</t>
  </si>
  <si>
    <t>CSHT phục vụ du lịch các xã ven sông Tiền (giai đoạn 2)</t>
  </si>
  <si>
    <t>2848/QĐ-UBND 31/12/2015; 390/QĐ-UBND ngày 26/02/2016</t>
  </si>
  <si>
    <t>IV</t>
  </si>
  <si>
    <t>LĨNH VỰC CÔNG CỘNG</t>
  </si>
  <si>
    <t>Dự án Mở rộng nâng cấp đô thị Việt Nam - Tiểu dự án thành phố Bến Tre, tỉnh Bến Tre</t>
  </si>
  <si>
    <t>363/QĐ-TTg 23/3/2017</t>
  </si>
  <si>
    <t>Công trình Thí điểm nâng cấp, cải tạo công trình trạm xử lý phân bùn thải bể tự hoại thành phố Bến Tre</t>
  </si>
  <si>
    <t>2042/QĐ-UBND ngày 18/9/2019</t>
  </si>
  <si>
    <t>Dự án tăng cường QL đất đai và cơ sở dữ liệu đất đai (VILG)</t>
  </si>
  <si>
    <t>1236/QĐ-BTNMT 30/5/2016</t>
  </si>
  <si>
    <t>V</t>
  </si>
  <si>
    <t>Chỉnh trang khuôn viên Trụ sở Tỉnh ủy, Hội đồng nhân dân, Ủy ban nhân dân tỉnh</t>
  </si>
  <si>
    <t>Cải tạo, sửa chữa Trụ sở Ủy ban nhân dân tỉnh (giai đoạn 2)</t>
  </si>
  <si>
    <t>Khu hành chính xã Phước Thạnh</t>
  </si>
  <si>
    <t>1841/QĐ-UBND ngày 03/8/2020</t>
  </si>
  <si>
    <t>Khu hành chính xã An Thạnh</t>
  </si>
  <si>
    <t>1149/QĐ-UBND ngày 27/5/2021</t>
  </si>
  <si>
    <t>Khu hành chính xã Đại Hòa Lộc</t>
  </si>
  <si>
    <t>408/QĐ-SXD ngày 10/11/2020</t>
  </si>
  <si>
    <t>Khu hành chính xã Tân Xuân</t>
  </si>
  <si>
    <t>407/QĐ-SXD ngày 09/11/2020</t>
  </si>
  <si>
    <t>Khu hành chính xã Phước Ngãi</t>
  </si>
  <si>
    <t>413/QĐ-SXD ngày 11/11/2020</t>
  </si>
  <si>
    <t>Cải tạo, sửa chữa Trụ sở làm việc Đảng ủy khối Cơ quan - Doanh nghiệp tỉnh</t>
  </si>
  <si>
    <t>518/QĐ-UBND ngày 16/3/2021</t>
  </si>
  <si>
    <t>Cải tạo, sửa chữa Trụ sở các ban đảng Tỉnh ủy</t>
  </si>
  <si>
    <t>2979/QĐ-UBND ngày 13/11/2020</t>
  </si>
  <si>
    <t>VI</t>
  </si>
  <si>
    <t>Xây dựng nơi tạm giữ phương tiện thủy, tang vật vi phạm</t>
  </si>
  <si>
    <t>204/QĐ-SXD ngày 31/10/2019</t>
  </si>
  <si>
    <t>Trụ sở làm việc Ban CHQS và nhà ở dân quân xã, phường thị trấn (giai đoạn 2)</t>
  </si>
  <si>
    <t>2835/QĐ-UBND ngày 30/10/2020</t>
  </si>
  <si>
    <t>Đối ứng Bộ Quốc phòng</t>
  </si>
  <si>
    <t>Mở rộng kho đạn tỉnh</t>
  </si>
  <si>
    <t>2836/QĐ-UBND ngày 30/10/2020</t>
  </si>
  <si>
    <t>Trạm kiểm soát Biên phòng Hàm Luông</t>
  </si>
  <si>
    <t>2468/QĐ-UBND ngày 30/09/2020</t>
  </si>
  <si>
    <t>Mua sắm trang thiết bị doanh cụ cho Sở chỉ huy Biên phòng tỉnh</t>
  </si>
  <si>
    <t>2704/QĐ-UBND ngày 20/10/2020</t>
  </si>
  <si>
    <t>2963/QĐ-UBND ngày 13/11/2020</t>
  </si>
  <si>
    <t>Hoàn thiện đường nội bộ Trụ sở công an tỉnh Bến Tre</t>
  </si>
  <si>
    <t>447/QĐ-UBND ngày 16/11/2020</t>
  </si>
  <si>
    <t>VII</t>
  </si>
  <si>
    <t>Phân cấp huyện - thành phố</t>
  </si>
  <si>
    <t>VIII</t>
  </si>
  <si>
    <t>Chi phí thẩm định quyết toán</t>
  </si>
  <si>
    <t>IX</t>
  </si>
  <si>
    <t>Biểu mẫu số 4</t>
  </si>
  <si>
    <r>
      <rPr>
        <b/>
        <sz val="16"/>
        <rFont val="Times New Roman"/>
        <family val="1"/>
      </rPr>
      <t xml:space="preserve">TÌNH HÌNH THỰC HIỆN CÁC DỰ ÁN ĐẦU TƯ THEO HÌNH THỨC ĐỐI TÁC CÔNG TƯ (PPP) 5 NĂM GIAI ĐOẠN N </t>
    </r>
    <r>
      <rPr>
        <b/>
        <vertAlign val="superscript"/>
        <sz val="16"/>
        <rFont val="Times New Roman"/>
        <family val="1"/>
      </rPr>
      <t>(1)</t>
    </r>
    <r>
      <rPr>
        <b/>
        <sz val="16"/>
        <rFont val="Times New Roman"/>
        <family val="1"/>
      </rPr>
      <t xml:space="preserve"> VÀ DỰ KIẾN KẾ HOẠCH 5 NĂM GIAI ĐOẠN N+1</t>
    </r>
  </si>
  <si>
    <t>TT</t>
  </si>
  <si>
    <t>Thời gian KC-HT</t>
  </si>
  <si>
    <t>Quyết định đầu tư</t>
  </si>
  <si>
    <t>Tổng mức đầu tư</t>
  </si>
  <si>
    <t>Kế hoạch vốn đã bố trí từ năm đầu tiên đến hết năm thứ tư của giai đoạn N</t>
  </si>
  <si>
    <t>Lũy kế khối lượng thực hiện từ khi khởi công đến hết ngày 31/12/2014</t>
  </si>
  <si>
    <t>Giải ngân kế hoạch vốn đã bố trí từ năm đầu tiên đến hết năm thứ tư của giai đoạn N</t>
  </si>
  <si>
    <t>Dự kiến kế hoạch 5 năm giai đoạn  N+1</t>
  </si>
  <si>
    <r>
      <rPr>
        <sz val="14"/>
        <rFont val="Times New Roman"/>
        <family val="1"/>
      </rPr>
      <t xml:space="preserve">Phần vốn nhà nước đóng góp </t>
    </r>
    <r>
      <rPr>
        <vertAlign val="superscript"/>
        <sz val="14"/>
        <rFont val="Times New Roman"/>
        <family val="1"/>
      </rPr>
      <t>(2)</t>
    </r>
  </si>
  <si>
    <t>Vốn do nhà đầu tư tự huy động</t>
  </si>
  <si>
    <t>Vốn NSTW</t>
  </si>
  <si>
    <t>Vốn NSĐP</t>
  </si>
  <si>
    <t>Vốn TPCP</t>
  </si>
  <si>
    <t>Vốn nhà nước khác</t>
  </si>
  <si>
    <t>Đầu tư theo hình thức BOT</t>
  </si>
  <si>
    <t>Dự án chuyển tiếp từ trước năm cuối giai đoạn trước sang giai đoạn N</t>
  </si>
  <si>
    <t>a</t>
  </si>
  <si>
    <t>Dự án hoàn thành và bàn giao đưa vào sử dụng trước năm N</t>
  </si>
  <si>
    <t>(1)</t>
  </si>
  <si>
    <t>Dự án ...</t>
  </si>
  <si>
    <t>…</t>
  </si>
  <si>
    <t>………..</t>
  </si>
  <si>
    <t>b</t>
  </si>
  <si>
    <t>Dự án hoàn thành và bàn giao đưa vào sử dụng trong giai đoạn N-N+4</t>
  </si>
  <si>
    <t>Phân loại như tiết a điểm 1 nêu trên</t>
  </si>
  <si>
    <t>c</t>
  </si>
  <si>
    <t>Dự án chuyển tiếp sang giai đoạn N+5-N+9</t>
  </si>
  <si>
    <t>- Dự án dự kiến hoàn thành và bàn giao đưa vào sử dụng trong giai đoạn N+5-N+9</t>
  </si>
  <si>
    <t>- Dự án dự kiến hoàn thành sau giai đoạn N+5-N+9</t>
  </si>
  <si>
    <t>Dự án khởi công mới trong giai đoạn N-N+4</t>
  </si>
  <si>
    <t>Dự án hoàn thành và bàn giao đưa vào sử dụng giai đoạn N</t>
  </si>
  <si>
    <t>Dự án khởi công mới trong giai đoạn N-N+4+1</t>
  </si>
  <si>
    <t>- Dự án dự kiến hoàn thành và bàn giao đưa vào sử dụng giai đoạn N+5-N+9</t>
  </si>
  <si>
    <t>Đầu tư theo hình thức BT</t>
  </si>
  <si>
    <t>Phân loại như mục I nêu trên</t>
  </si>
  <si>
    <t>Đầu tư theo hình thức….</t>
  </si>
  <si>
    <t>Ghi chú:</t>
  </si>
  <si>
    <t>(1) Giai đoạn N là giai đoạn đang thực hiện kế hoạch (tính theo thời điểm báo cáo)</t>
  </si>
  <si>
    <t>(2) Trong trường hợp phần tham gia của Nhà nước bằng các tài sản vật chất thì vốn nhà nước đóng góp vào phần tham gia của Nhà nước là giá trị tài sản vật chất được lượng hóa bằng tiền</t>
  </si>
  <si>
    <t>Biểu mẫu số 5</t>
  </si>
  <si>
    <t>Tỉnh, thành phố trực thuộc Trung ương………</t>
  </si>
  <si>
    <r>
      <rPr>
        <b/>
        <sz val="18"/>
        <rFont val="Times New Roman"/>
        <family val="1"/>
      </rPr>
      <t xml:space="preserve">DỰ KIẾN KẾ HOẠCH ĐẦU TƯ PHÁT TRIỂN NGUỒN THU ĐỂ LẠI CHO ĐẦU TƯ NHƯNG CHƯA ĐƯA VÀO CÂN ĐỐI NSĐP </t>
    </r>
    <r>
      <rPr>
        <vertAlign val="superscript"/>
        <sz val="18"/>
        <rFont val="Times New Roman"/>
        <family val="1"/>
      </rPr>
      <t>(*)</t>
    </r>
    <r>
      <rPr>
        <b/>
        <sz val="18"/>
        <rFont val="Times New Roman"/>
        <family val="1"/>
      </rPr>
      <t xml:space="preserve"> 5 NĂM GIAI ĐOẠN N+1</t>
    </r>
  </si>
  <si>
    <t>Địa điểm XD</t>
  </si>
  <si>
    <t>Năng lực thiết kế</t>
  </si>
  <si>
    <t xml:space="preserve">Giải ngân kế hoạch vốn đã bố trí từ năm đầu tiên đến hết năm thứ tư của giai đoạn N </t>
  </si>
  <si>
    <t>Nhu cầu đầu tư giai đoạn N+1</t>
  </si>
  <si>
    <t>Số quyết định ngày, tháng, năm ban hành</t>
  </si>
  <si>
    <t>Trong đó: từ nguồn thu để lại cho đầu tư nhưng chưa đưa vào cân đối NSĐP</t>
  </si>
  <si>
    <t>Ngành, Lĩnh vực/Chương trình.......</t>
  </si>
  <si>
    <t>d</t>
  </si>
  <si>
    <t>Dự án giãn hoãn tiến độ thi công và chuyển đổi hình thức đầu tư</t>
  </si>
  <si>
    <t>- Dự án giãn hoãn tiến độ thi công đến điểm dừng kỹ thuật hợp lý</t>
  </si>
  <si>
    <t>- Dự án chuyển đổi hình thức đầu tư</t>
  </si>
  <si>
    <t>- Dự án giãn hoãn tiến độ thi công và chuyển đổi hình thức đầu tư trong giai đoạn N</t>
  </si>
  <si>
    <t>+ Dự án giãn hoãn tiến độ thi công đến điểm dừng kỹ thuật hợp lý</t>
  </si>
  <si>
    <t>+ Dự án chuyển đổi hình thức đầu tư</t>
  </si>
  <si>
    <t>- Dự án hoàn thành và bàn giao đưa vào sử dụng giai đoạn N+1</t>
  </si>
  <si>
    <t>Ghi chú:(*) Mỗi nguồn thu để lại cho đầu tư nhưng chưa đưa vào cân đối NSĐP (không bao gồm nguồn thu từ xổ số kiến thiết) báo cáo một biểu riêng</t>
  </si>
  <si>
    <t xml:space="preserve">Ghi chú: * Đề nghị các dự án ghi rõ dự kiến năm hoàn thành để có cơ sở xác định số dự án hoàn thành trong các năm </t>
  </si>
  <si>
    <t>Biểu mẫu số 6</t>
  </si>
  <si>
    <t>TÌNH HÌNH THỰC HIỆN KẾ HOẠCH TÍN DỤNG ĐẦU TƯ PHÁT TRIỂN CỦA NHÀ NƯỚC 5 NĂM GIAI ĐOẠN N VÀ DỰ KIẾN KẾ HOẠCH 5 NĂM GIAI ĐOẠN N+1</t>
  </si>
  <si>
    <t>Kế hoạch vốn bố trí từ năm đầu tiên đến hết năm thứ tư của giai đoạn N</t>
  </si>
  <si>
    <t>Giải ngân kế hoạch vốn từ năm đầu tiên đến hết năm thứ tư của giai đoạn N</t>
  </si>
  <si>
    <t>Nhu cầu 5 năm
giai đoạn N+1</t>
  </si>
  <si>
    <t>Dự kiến kế hoạch
5 năm giai đoạn N+1</t>
  </si>
  <si>
    <t>Trong đó: tín dụng đầu tư phát triển của nhà nước</t>
  </si>
  <si>
    <t>Rất ẩu số thứ tự không đúng</t>
  </si>
  <si>
    <t>Ngành, lĩnh vực …</t>
  </si>
  <si>
    <t>- Dự án giãn hoãn tiến độ thi công và chuyển đổi hình thức đầu tư trong giai đoạn N+1</t>
  </si>
  <si>
    <t>Biểu mẫu số 7</t>
  </si>
  <si>
    <t>Tỉnh, thành phố trực thuộc Trung ương ………..</t>
  </si>
  <si>
    <t>TÌNH HÌNH THỰC HIỆN KẾ HOẠCH ĐẦU TƯ PHÁT TRIỂN NGUỒN TRÁI PHIẾU CHÍNH QUYỀN ĐỊA PHƯƠNG VÀ CÁC KHOẢN VỐN VAY KHÁC CỦA NGÂN SÁCH ĐỊA PHƯƠNG 5 NĂM GIAI ĐOẠN N VÀ DỰ KIẾN KẾ HOẠCH 5 NĂM GIAI ĐOẠN N+1</t>
  </si>
  <si>
    <t>Lũy kế vốn vay từ khởi công đến hết kế hoạch năm thứ tư của giai đoạn N</t>
  </si>
  <si>
    <t xml:space="preserve">Lũy kế số vốn đã hoàn trả từ khởi công đến hết năm kế hoạch năm thứ tư của giai đoạn N </t>
  </si>
  <si>
    <t>Số vốn vay còn lại chưa được bố trí kế hoạch hằng năm hoàn trả</t>
  </si>
  <si>
    <t>Dự kiến các khoản vốn vay năm thứ năm của giai đoạn N</t>
  </si>
  <si>
    <t>Nhu cầu giai đoạn N+1</t>
  </si>
  <si>
    <t>Dự kiến kế hoạch vốn vay giai đoạn 2016-2020 do không cân đối được kế hoạch hằng năm</t>
  </si>
  <si>
    <t>Dự kiến kế hoạch 5 năm giai đoạn N+1
để hoàn trả các khoản vốn vay</t>
  </si>
  <si>
    <t>Dự kiến kế hoạch vay hằng năm</t>
  </si>
  <si>
    <t>Trái phiếu chính quyền địa phương</t>
  </si>
  <si>
    <t>Vay kho bạc nhàn rỗi</t>
  </si>
  <si>
    <t>Vay tín dụng đầu tư nhà nước</t>
  </si>
  <si>
    <t>Các khoản vốn vay khác</t>
  </si>
  <si>
    <t>Năm thứ nhất</t>
  </si>
  <si>
    <t>Năm thứ hai</t>
  </si>
  <si>
    <t>Năm thứ ba</t>
  </si>
  <si>
    <t>Năm thứ tư</t>
  </si>
  <si>
    <t>Năm thứ năm</t>
  </si>
  <si>
    <t>Các nguồn vốn khác</t>
  </si>
  <si>
    <t>Trong đó: hoàn trả các khoản vốn vay</t>
  </si>
  <si>
    <t>- Dự án dự kiến hoàn thành sau năm 2020</t>
  </si>
  <si>
    <t>Danh mục dự án dự kiến hoàn thành năm 2012</t>
  </si>
  <si>
    <t>(2)</t>
  </si>
  <si>
    <t>Danh mục dự án chuyển tiếp</t>
  </si>
  <si>
    <t>Danh mục các dự án khởi công mới năm 2012</t>
  </si>
  <si>
    <t>(4)</t>
  </si>
  <si>
    <t>Các dự án chuyển tiếp sang thực hiện giai đoạn 2016-2020</t>
  </si>
  <si>
    <t>Dự án nhóm A</t>
  </si>
  <si>
    <t>Dự án nhóm B</t>
  </si>
  <si>
    <t>Dự án nhóm C</t>
  </si>
  <si>
    <t>Trong đó: Vốn đầu tư từ nguồn thu XSKT</t>
  </si>
  <si>
    <t>Vốn đầu tư từ nguồn tăng thu XSKT các năm trước chuyển sang</t>
  </si>
  <si>
    <t>Vốn đầu tư từ nguồn thu XSKT</t>
  </si>
  <si>
    <t>Vốn kế hoạch</t>
  </si>
  <si>
    <t>Tạm ứng Kho bạc Nhà nước cho dự án Đầu tư xây dựng CSHT Khu công nghiệp Phú Thuận</t>
  </si>
  <si>
    <t xml:space="preserve">Dự án phát triển chuỗi giá trị nông nghiệp thông minh thích ứng biến đổi khí hậu tại tỉnh Bến Tre </t>
  </si>
  <si>
    <t>a)</t>
  </si>
  <si>
    <t>Dự án hoàn thành và bàn giao đưa vào sử dụng đến ngày 31 tháng 12 năm 2020</t>
  </si>
  <si>
    <t>Dự án đầu tư xây dựng CSHT khu công nghiệp Giao Long (giai đoạn 2)</t>
  </si>
  <si>
    <t>588/QĐ-UBND 30/3/2012</t>
  </si>
  <si>
    <t>Chuyển từ tạm ứng sang cấp phát</t>
  </si>
  <si>
    <t>Đầu tư xây dựng CSHT Khu công nghiệp Phú Thuận</t>
  </si>
  <si>
    <t>1025/QĐ-UBND 16/5/2019</t>
  </si>
  <si>
    <t>2417/QĐ-UBND 31/10/2019</t>
  </si>
  <si>
    <t>2178/QĐ-UBND 16/9/2016</t>
  </si>
  <si>
    <t>LĨNH VỰC NÔNG NGHIỆP &amp; PHÁT TRIỂN NÔNG THÔN</t>
  </si>
  <si>
    <t>Dự án Cấp nước sinh hoạt cho dân cư khu vực Cù Lao Minh trong điều kiện biến đổi khí hậu và nước biển dâng</t>
  </si>
  <si>
    <t>2322/QĐ-UB 26/10/2018</t>
  </si>
  <si>
    <t>Dự án tái định cư khẩn cấp sạt lở bờ sông Bến Tre</t>
  </si>
  <si>
    <t>1283/QĐ-UB 19/6/2018</t>
  </si>
  <si>
    <t>Mở rộng cầu tàu Cảng cá Bình Đại</t>
  </si>
  <si>
    <t>2394/QĐ-UB 30/10/2019</t>
  </si>
  <si>
    <t>Xây dựng hệ thống xử lý nước thải phục vụ cảng cá Ba Tri</t>
  </si>
  <si>
    <t>2759/QĐ-UB 26/10/2020</t>
  </si>
  <si>
    <t>Gia cố sạt lở đê Tân Bắc xã Tân Phú và đê Cồn Dơi xã Phú Đức huyện Châu Thành</t>
  </si>
  <si>
    <t>2359/QĐ-UB 30/10/2019</t>
  </si>
  <si>
    <t>Hệ thống thủy lợi Nam Bến Tre</t>
  </si>
  <si>
    <t>132/HĐND-TH ngày 20/3/2017</t>
  </si>
  <si>
    <t>Hạ tầng vùng nuôi trồng thủy sản huyện Bình Đại</t>
  </si>
  <si>
    <t>4447/QĐ-BNN-TCTS ngày 29/10/2016</t>
  </si>
  <si>
    <t>Cở sở hạ tầng thiết yếu phục vụ phòng, chống cháy rừng đặc dụng xã Thạnh Phong và xã Thạnh Hải, huyện Thạnh Phú (giai đoạn 2)</t>
  </si>
  <si>
    <t>260/QĐ-UB 8/6/2020</t>
  </si>
  <si>
    <t>618/QĐ-UB 21/3/2021</t>
  </si>
  <si>
    <t>Đối ứng vốn đối với dự án ODA</t>
  </si>
  <si>
    <t xml:space="preserve"> LĨNH VỰC GIAO THÔNG VẬN TẢI</t>
  </si>
  <si>
    <t>ĐT.883 (đường vào cầu Rạch Miễu đến cầu An Hóa)</t>
  </si>
  <si>
    <t>781/QĐ-UB 01/04/10</t>
  </si>
  <si>
    <t>Đường vào Khu neo đậu tránh trú bão kết hợp cảng cá Ba Tri</t>
  </si>
  <si>
    <t>2343/QĐ-UBND 30/10/2018</t>
  </si>
  <si>
    <t>Đường ĐH.11 (từ ĐT.887 đến ĐT.885)</t>
  </si>
  <si>
    <t>3130/QĐ-UBND ngày 26/12/2017</t>
  </si>
  <si>
    <t>Đường vào Khu tưởng niệm liệt sĩ Trần Văn Ơn (đoạn từ QL60 đến bến đò An Hóa)</t>
  </si>
  <si>
    <t>751/QĐ-UBND ngày 31/10/2016</t>
  </si>
  <si>
    <t>Đường giao thông kết hợp đê chống lũ, xăm nhập mặn các xã Tân Thành Bình - Thạnh Ngãi - Phú Mỹ</t>
  </si>
  <si>
    <t>26211/QĐ-UBND ngày 31/10/2016</t>
  </si>
  <si>
    <t>Nâng cấp mở rộng đường Nguyễn Thị Định, ĐH10 (đoạn từ đường Nguyễn Thị Định đến Bình Thành)</t>
  </si>
  <si>
    <t>2336/QĐ-UBND 29/10/2018</t>
  </si>
  <si>
    <t>Xây dựng bến phà tạm để giải quyết ùn tắc giao thông trong thời gian xây dựng cầu Rạch Miễu 2</t>
  </si>
  <si>
    <t>1596/QĐ-UB ngày 08/7/2020</t>
  </si>
  <si>
    <t>Xây dựng hệ thống thoát nước vỉa hè cây xanh chiếu sáng trên tuyến QL60 (đoạn đường dẫn vào cầu Rạch Miễu)</t>
  </si>
  <si>
    <t>Nghị quyết số 05/NQ-HĐND ngày 3/8/2016</t>
  </si>
  <si>
    <t>Xây dựng đường Đê Tây, huyện Bình Đại (Đoạn giáp từ xã Châu Hưng đến Thạnh Trị)</t>
  </si>
  <si>
    <t>2981/QĐ-UB 31/12/2019</t>
  </si>
  <si>
    <t>Lộ Tân Bắc (ĐH.19)</t>
  </si>
  <si>
    <t>1916/QĐ-UB 07/8/2020</t>
  </si>
  <si>
    <t xml:space="preserve">Đường Làng nghề </t>
  </si>
  <si>
    <t>2557/QĐ-UB 08/10/2020</t>
  </si>
  <si>
    <t>Xã An Thạnh và Đa Phước Hội huyện Mỏ Cày Nam</t>
  </si>
  <si>
    <t>Nâng cấp, mở rộng đường huyện 26 (đường vào Trung tâm xã Hòa Lợi)</t>
  </si>
  <si>
    <t>1712/QĐ-UB 20/7/2020</t>
  </si>
  <si>
    <t>Xây dựng cầu chợ Ba Tri</t>
  </si>
  <si>
    <t>2569/QĐ-UB 20/11/2019</t>
  </si>
  <si>
    <t>Cầu Bà Tư trên tuyến đê biển Bình Đại</t>
  </si>
  <si>
    <t>2573/QĐ-UB 20/11/2019</t>
  </si>
  <si>
    <t>Đường vào Trung tâm xã Tam Hiệp</t>
  </si>
  <si>
    <t>2578/QĐ-UB 20/11/2019</t>
  </si>
  <si>
    <t>Cầu Đập Lá xã Phước Mỹ Trung huyện Mỏ Cày Bắc</t>
  </si>
  <si>
    <t>1454/QĐ-UB 10/7/2019</t>
  </si>
  <si>
    <t>Đường huyện 04 huyện Châu Thành</t>
  </si>
  <si>
    <t>1252/QĐ-UB 7/6/2019</t>
  </si>
  <si>
    <t>Cầu Châu Ngao</t>
  </si>
  <si>
    <t>2998/QĐ-UB 13/11/2020</t>
  </si>
  <si>
    <t>Đường gom Đường vào Cầu Rạch Miễu 2</t>
  </si>
  <si>
    <t>1528/QĐ-UB 12/7/2021</t>
  </si>
  <si>
    <t>Bố trí vốn GPMB đồng bộ với dự án Cầu Rạch Miễu 2</t>
  </si>
  <si>
    <t>Dự án nâng cấp, mở rộng các tuyến đường huyện thuộc địa phận huyện Chợ Lách (ĐH. 34, 35, 37)</t>
  </si>
  <si>
    <t>794/QĐ-UB 12/4/2021</t>
  </si>
  <si>
    <t>LĨNH VỰC Y TẾ - XÃ HỘI</t>
  </si>
  <si>
    <t>V.1</t>
  </si>
  <si>
    <t>Y TẾ</t>
  </si>
  <si>
    <t>Cải tạo, nâng cấp cơ sở hạ tầng và trang thiết bị Bệnh viện Y học cổ truyền tỉnh Bến Tre</t>
  </si>
  <si>
    <t>1557/QĐ-UBND 27/7/2018</t>
  </si>
  <si>
    <t>Tăng cường CSVC ngành Y tế</t>
  </si>
  <si>
    <t>1.1</t>
  </si>
  <si>
    <t>Cải tạo, sửa chữa Bệnh viện đa khoa khu vực Cù Lao Minh</t>
  </si>
  <si>
    <t>2126/QĐ-UBND ngày 03/6/2019</t>
  </si>
  <si>
    <t>1.2</t>
  </si>
  <si>
    <t>Cải tạo, sửa chữa, mở rộng Khoa Nhi (cũ) để bố trí Khoa Tim mạch Bệnh viện Nguyễn Đình Chiểu</t>
  </si>
  <si>
    <t>2219/QĐ-UBND ngày 10/10/2019</t>
  </si>
  <si>
    <t>1.3</t>
  </si>
  <si>
    <t>Cải tạo, sửa chữa khoa sản - Bệnh viện Nguyễn Đình Chiểu</t>
  </si>
  <si>
    <t>230/QĐ-SXD ngày 30/10/2019</t>
  </si>
  <si>
    <t>Trung tâm y tế huyện Mỏ Cày Bắc</t>
  </si>
  <si>
    <t>1923/QĐ-UBND 17/9/2018</t>
  </si>
  <si>
    <t>Bệnh viện đa khoa huyện Ba Tri</t>
  </si>
  <si>
    <t>3003/QĐ-UBND ngày 16/11/2020</t>
  </si>
  <si>
    <t>Bệnh viện Đa khoa Cù lao Minh</t>
  </si>
  <si>
    <t>3004/QĐ-UBND ngày 16/11/2020</t>
  </si>
  <si>
    <t>Trung tâm y tế huyện Châu Thành</t>
  </si>
  <si>
    <t>2971/QĐ-UBND ngày 13/11/2020</t>
  </si>
  <si>
    <t>Nâng cấp, sửa chữa Trung tâm y tế huyện Giồng Trôm</t>
  </si>
  <si>
    <t>415/QĐ-SXD ngày 13/11/2020</t>
  </si>
  <si>
    <t>Trung tâm y tế huyện Thạnh Phú</t>
  </si>
  <si>
    <t>445/QĐ-SXD ngày 13/11/2020</t>
  </si>
  <si>
    <t>Trung tâm y tế huyện Chợ Lách</t>
  </si>
  <si>
    <t>284/QĐ-SXD ngày 02/07/2020</t>
  </si>
  <si>
    <t>Nâng cấp, cải tạo, sửa chữa các Khoa Nội tổng hợp; Nội thần kinh - Nội tiết; Tai mũi họng; Đông y Bệnh viện Nguyễn Đình Chiểu</t>
  </si>
  <si>
    <t>2991/QĐ-UBND ngày 13/11/2020</t>
  </si>
  <si>
    <t>Mở rộng mái che khu khám bệnh của Bệnh viện Nguyễn Đình Chiểu</t>
  </si>
  <si>
    <t>84/QĐ-SXD ngày 13/4/2021</t>
  </si>
  <si>
    <t>Cải tạo, sửa chữa, mở rộng Liên khoa Ngoại tổng quát, chấn thương chỉnh hình - phục hồi chức năng, ung bướu, mắt, răng - hàm - mặt, Bệnh viện Nguyễn Đình Chiểu</t>
  </si>
  <si>
    <t>2993/QĐ-UBND ngày 13/11/2020</t>
  </si>
  <si>
    <t>Xây mới Khu chạy thận nhân tạo, Bệnh viện Nguyễn Đình Chiểu</t>
  </si>
  <si>
    <t>2992/QĐ-UBND ngày 13/11/2020</t>
  </si>
  <si>
    <t>Cải tạo tầng trệt khối F1, F2 (Khu Cấp cứu) và Khu khám Bệnh viện Nguyễn Đình Chiểu</t>
  </si>
  <si>
    <t>Bệnh viện Y học cổ truyền tỉnh Bến Tre (giai đoạn 2)</t>
  </si>
  <si>
    <t>3005/QĐ-UBND ngày 16/11/2020</t>
  </si>
  <si>
    <t>Dự án Mua sắm trang thiết bị y tế cho Khoa hồi sức tích cực của Bệnh viện Nguyễn Đình Chiểu (50 giường - giai đoạn 1)</t>
  </si>
  <si>
    <t>V.2</t>
  </si>
  <si>
    <t>XÃ HỘI</t>
  </si>
  <si>
    <t>Dự án đầu tư xây dựng Trung tâm Bảo trợ xã hội tỉnh Bến Tre</t>
  </si>
  <si>
    <t>709/QĐ-UBND ngày 26/3/2020</t>
  </si>
  <si>
    <t>LĨNH VỰC VĂN HOÁ, THỂ THAO VÀ DU LỊCH</t>
  </si>
  <si>
    <t>Nhà văn hóa trung tâm tỉnh Bến Tre</t>
  </si>
  <si>
    <t>1884/QĐ-UBND 
02/10/2012</t>
  </si>
  <si>
    <t>Nâng cấp, chuyển chất liệu Tượng đài Đồng Khởi Bến Tre</t>
  </si>
  <si>
    <t>739/QĐ-UBND 19/4/2019</t>
  </si>
  <si>
    <t>Khu tưởng niệm liệt sĩ Trần Văn Ơn</t>
  </si>
  <si>
    <t>676-QĐ/TWĐTN-VP ngày 30/10/2014, 680-QĐ/TĐN-VP ngày 26/11/2016</t>
  </si>
  <si>
    <t>Nội thất đền thờ -Nghĩa trang liệt sĩ tỉnh</t>
  </si>
  <si>
    <t>3074/QĐ-UBND ngày 23/11/2020</t>
  </si>
  <si>
    <t>Chuyển đổi chất liệu phần mỹ thuật tượng đài chiến thắng Lộ Thơ, Tượng đài chiến thắng Giá thẻ và Tượng đài đánh tàu trên sông Giồng Trôm</t>
  </si>
  <si>
    <t>Cải tạo, sửa chữa Trường năng khiếu Thể dục Thể thao</t>
  </si>
  <si>
    <t>308/QĐ-SXD 24/7/2020</t>
  </si>
  <si>
    <t>Khu di tích lịch sử - văn hóa, cách mạng Bưng Lạc Địa</t>
  </si>
  <si>
    <t>Hỗ trợ Bến tàu du lịch thành phố Bến Tre</t>
  </si>
  <si>
    <t>3625/QĐ-UBND ngày 28/9/2020</t>
  </si>
  <si>
    <t>Trung tâm văn hóa thể thao huyện Giồng Trôm</t>
  </si>
  <si>
    <t>2964/QĐ-UBND ngày 13/11/2020</t>
  </si>
  <si>
    <t>Khu dân cư Lạc Địa, xã Phú Lễ, huyện Ba Tri</t>
  </si>
  <si>
    <t>LĨNH VỰC KHOA HỌC - CÔNG NGHỆ - THÔNG TIN TRUYỀN THÔNG - PHÁT THANH TRUYỀN HÌNH</t>
  </si>
  <si>
    <t>Đầu tư xây dựng hạ tầng công nghệ thông tin phát triển chính quyền điện tử tỉnh Bến Tre (giai đoạn 1)</t>
  </si>
  <si>
    <t>2400/QĐ-UB ngày 30/10/2019</t>
  </si>
  <si>
    <t>Đầu tư thiết bị phim trường thời sự, văn nghệ chuẩn HD</t>
  </si>
  <si>
    <t>2984/QĐ-UB ngày 13/11/2020</t>
  </si>
  <si>
    <t>Đầu tư xe truyền hình lưu động</t>
  </si>
  <si>
    <t>2983/QĐ-UBND ngày 13/11/2020</t>
  </si>
  <si>
    <t>LĨNH VỰC GIÁO DỤC VÀ ĐÀO TẠO</t>
  </si>
  <si>
    <t>Trường Mầm non Trúc Giang</t>
  </si>
  <si>
    <t>185/QĐ-SXD ngày 31/10/2018</t>
  </si>
  <si>
    <t>Trường Mầm non Đồng Khởi</t>
  </si>
  <si>
    <t>783/QĐ-UBND ngày 24/4/2019</t>
  </si>
  <si>
    <t>Trường Tiểu học Thừa Đức</t>
  </si>
  <si>
    <t>2350/QĐ-UBND 30/10/2018</t>
  </si>
  <si>
    <t>Trường THCS Châu Bình</t>
  </si>
  <si>
    <t>111/QĐ-UBND, 12/7/2019</t>
  </si>
  <si>
    <t>Trường Tiểu học Hưng Nhượng</t>
  </si>
  <si>
    <t>104/QĐ-UBND, 28/6/2019</t>
  </si>
  <si>
    <t>Trường Tiểu học Tân Thanh</t>
  </si>
  <si>
    <t>90/QĐ-SXD, 18/6/2019</t>
  </si>
  <si>
    <t>Trường Tiểu học Phong Điền</t>
  </si>
  <si>
    <t>414/QĐ-UBND, 08/3/2019</t>
  </si>
  <si>
    <t>Trường Mẫu giáo An Phú Trung</t>
  </si>
  <si>
    <t>2297/QĐ-UBND ngày 24/10/2018</t>
  </si>
  <si>
    <t>Trường Tiểu học An Phú Trung</t>
  </si>
  <si>
    <t>2298/QĐ-UBND ngày 24/10/2018</t>
  </si>
  <si>
    <t>Trường Mầm non Mỹ Chánh</t>
  </si>
  <si>
    <t>2295/QĐ-UBND ngày 24/10/2018</t>
  </si>
  <si>
    <t>Trường Tiểu học Mỹ Chánh</t>
  </si>
  <si>
    <t>2296/QĐ-UBND ngày 24/10/2018</t>
  </si>
  <si>
    <t>Trường Tiểu học Vĩnh Hòa</t>
  </si>
  <si>
    <t>178/QĐ-SXD, 28/10/2019</t>
  </si>
  <si>
    <t>Trường THCS Ba Mỹ</t>
  </si>
  <si>
    <t>167/QĐ-SXD, 26/10/2018</t>
  </si>
  <si>
    <t>Trường Tiểu học Mỹ An</t>
  </si>
  <si>
    <t>14/QĐ-SXD 29/8/2019</t>
  </si>
  <si>
    <t>Trường Tiểu học Mỹ Hưng</t>
  </si>
  <si>
    <t>73/QĐ-SXD 31/6/2019</t>
  </si>
  <si>
    <t>Trường Tiểu học An Qui</t>
  </si>
  <si>
    <t>169/QĐ-SXD 14/10/2018</t>
  </si>
  <si>
    <t>Trường Tiểu học Huỳnh Thanh Mua</t>
  </si>
  <si>
    <t>162/QĐ-SXD, 09/10/2019</t>
  </si>
  <si>
    <t>Trường Mẫu giáo Giao Thạnh</t>
  </si>
  <si>
    <t>181/QĐ-SXD, 28/10/2019</t>
  </si>
  <si>
    <t>Trường Tiểu học Thạnh Ngãi 2</t>
  </si>
  <si>
    <t>189/QĐ-SXD, 31/10/2019</t>
  </si>
  <si>
    <t>Trường Tiểu học Hưng Khánh Trung A</t>
  </si>
  <si>
    <t>193/QĐ-SXD, 31/10/2019</t>
  </si>
  <si>
    <t>Trường Mầm non Vĩnh Hòa.</t>
  </si>
  <si>
    <t>171/QĐ-SXD 31/10/2018</t>
  </si>
  <si>
    <t>Trường Tiểu học Hòa Nghĩa B</t>
  </si>
  <si>
    <t>176/QĐ-SXD 31/10/2018</t>
  </si>
  <si>
    <t>Trường THCS Tân Hưng, huyện Ba Tri</t>
  </si>
  <si>
    <t>2216/QĐ-UBND ngày 16/10/2018</t>
  </si>
  <si>
    <t>Trường THCS Bùi Sĩ Hùng, huyện Bình Đại</t>
  </si>
  <si>
    <t>2342/QĐ-UBND 30/10/2018</t>
  </si>
  <si>
    <t>Hỗ trợ đầu tư CSVC, Mua sắm trang thiết bị dạy học thuộc Kế hoạch số 1658/KH-UBND ngày 10/4/2019 về Chương trình sách Giáo khoa giáo dục phổ thông mới từ năm học 2020-2021 đến năm học 2024-2025</t>
  </si>
  <si>
    <t>Kế hoạch số 1658/KH-UBND ngày 10/4/2019</t>
  </si>
  <si>
    <t>Trường PTCS Tân Mỹ</t>
  </si>
  <si>
    <t>2228/QĐ-UBND 17/10/2018</t>
  </si>
  <si>
    <t>Trường THCS Tân Hội</t>
  </si>
  <si>
    <t>544/QĐ-UB 26/3/2019</t>
  </si>
  <si>
    <t xml:space="preserve"> Trường THCS Thành phố Bến Tre</t>
  </si>
  <si>
    <t>2560/QĐ-UB 27/10/2016</t>
  </si>
  <si>
    <t>Truường THPT Nhuận Phú Tân</t>
  </si>
  <si>
    <t>353/QĐ-UBND ngày 27/02/2019</t>
  </si>
  <si>
    <t>Trường TH Tân Phong</t>
  </si>
  <si>
    <t>2357/QĐ-UBND ngày 28/10/2019</t>
  </si>
  <si>
    <t>Trường THCS Thạnh Hải</t>
  </si>
  <si>
    <t>1796/QĐ-UBND ngày 22/8/2019</t>
  </si>
  <si>
    <t>3009/QĐ-UBND ngày 16/11/2020</t>
  </si>
  <si>
    <t>Xây dựng dãy phòng học Trung tâm giáo dục nghề nghiệp - giáo dục thường xuyên huyện Thạnh Phú</t>
  </si>
  <si>
    <t>1814/QĐ-UBND ngày 29/7/2020</t>
  </si>
  <si>
    <t>Sửa chữa Hội trường Ủy ban nhân dân tỉnh</t>
  </si>
  <si>
    <t>X</t>
  </si>
  <si>
    <t>GPMB dự án Đồn biên phòng Cổ Chiên 602 - BCH biên phòng tỉnh Bến Tre</t>
  </si>
  <si>
    <t>329/UBND-TCĐT ngày 20/01/2020</t>
  </si>
  <si>
    <t>Kho đạn Bộ Chỉ huy Quân sự tỉnh</t>
  </si>
  <si>
    <t>Biểu mẫu số 9</t>
  </si>
  <si>
    <t>Tỉnh, thành phố …</t>
  </si>
  <si>
    <r>
      <rPr>
        <b/>
        <sz val="16"/>
        <rFont val="Times New Roman"/>
        <family val="1"/>
      </rPr>
      <t xml:space="preserve">DỰ KIẾN KHẢ NĂNG GIẢI NGÂN KẾ HOẠCH VỐN ODA NGUỒN NGÂN SÁCH NHÀ NƯỚC 5 NĂM GIAI ĐOẠN N+1 CÁC CHƯƠNG TRÌNH, DỰ ÁN ĐÃ KÝ KẾT HIỆP ĐỊNH HOẶC CÓ CAM KẾT VỚI NHÀ TÀI TRỢ ĐẾN NGÀY 30/6 NĂM CUỐI CỦA GIAI ĐOẠN N </t>
    </r>
    <r>
      <rPr>
        <b/>
        <vertAlign val="superscript"/>
        <sz val="16"/>
        <rFont val="Times New Roman"/>
        <family val="1"/>
      </rPr>
      <t>(4)</t>
    </r>
  </si>
  <si>
    <t>Nhà tài trợ</t>
  </si>
  <si>
    <t>Ngày ký kết Hiệp định</t>
  </si>
  <si>
    <t>Quyết định đầu tư ban đầu</t>
  </si>
  <si>
    <t>Quyết định đầu tư điều chỉnh</t>
  </si>
  <si>
    <t>Lũy kế giải ngân từ khởi công đến hết ngày 31/01 năm thứ năm của giai đoạn N (bao gồm cả số ứng trước chưa bố trí nguồn thu hồi)</t>
  </si>
  <si>
    <t>Kế hoạch năm thứ năm của giai đoạn N</t>
  </si>
  <si>
    <t>Dự kiến khả năng giải ngân kế hoạch
 5 năm giai đoạn N+1</t>
  </si>
  <si>
    <t xml:space="preserve">Số quyết định </t>
  </si>
  <si>
    <r>
      <rPr>
        <sz val="14"/>
        <rFont val="Times New Roman"/>
        <family val="1"/>
      </rPr>
      <t xml:space="preserve">Tổng số (tất cả các nguồn vốn) </t>
    </r>
    <r>
      <rPr>
        <vertAlign val="superscript"/>
        <sz val="14"/>
        <rFont val="Times New Roman"/>
        <family val="1"/>
      </rPr>
      <t>(1)</t>
    </r>
  </si>
  <si>
    <t xml:space="preserve">Trong đó: </t>
  </si>
  <si>
    <r>
      <rPr>
        <sz val="14"/>
        <rFont val="Times New Roman"/>
        <family val="1"/>
      </rPr>
      <t xml:space="preserve">Vốn đối ứng </t>
    </r>
    <r>
      <rPr>
        <vertAlign val="superscript"/>
        <sz val="14"/>
        <rFont val="Times New Roman"/>
        <family val="1"/>
      </rPr>
      <t>(2)</t>
    </r>
  </si>
  <si>
    <r>
      <rPr>
        <sz val="14"/>
        <rFont val="Times New Roman"/>
        <family val="1"/>
      </rPr>
      <t xml:space="preserve">Vốn nước ngoài (tính theo tiền Việt) </t>
    </r>
    <r>
      <rPr>
        <vertAlign val="superscript"/>
        <sz val="14"/>
        <rFont val="Times New Roman"/>
        <family val="1"/>
      </rPr>
      <t>(3)</t>
    </r>
  </si>
  <si>
    <r>
      <rPr>
        <sz val="14"/>
        <rFont val="Times New Roman"/>
        <family val="1"/>
      </rPr>
      <t>Vốn đối ứng</t>
    </r>
    <r>
      <rPr>
        <vertAlign val="superscript"/>
        <sz val="14"/>
        <rFont val="Times New Roman"/>
        <family val="1"/>
      </rPr>
      <t>(2)</t>
    </r>
  </si>
  <si>
    <r>
      <rPr>
        <sz val="14"/>
        <rFont val="Times New Roman"/>
        <family val="1"/>
      </rPr>
      <t>Vốn nước ngoài (theo Hiệp định)</t>
    </r>
    <r>
      <rPr>
        <vertAlign val="superscript"/>
        <sz val="14"/>
        <rFont val="Times New Roman"/>
        <family val="1"/>
      </rPr>
      <t>(3)</t>
    </r>
  </si>
  <si>
    <r>
      <rPr>
        <sz val="14"/>
        <rFont val="Times New Roman"/>
        <family val="1"/>
      </rPr>
      <t xml:space="preserve">Tổng số </t>
    </r>
    <r>
      <rPr>
        <vertAlign val="superscript"/>
        <sz val="14"/>
        <rFont val="Times New Roman"/>
        <family val="1"/>
      </rPr>
      <t>(1)</t>
    </r>
  </si>
  <si>
    <t>Đưa vào cân đối NSTW</t>
  </si>
  <si>
    <t>Vay lại</t>
  </si>
  <si>
    <t>Tính bằng nguyên tệ</t>
  </si>
  <si>
    <t>Quy đổi ra tiền Việt</t>
  </si>
  <si>
    <t xml:space="preserve">I </t>
  </si>
  <si>
    <t>Ngành, lĩnh vực.......</t>
  </si>
  <si>
    <t>Dự án dự kiến hoàn thành và bàn giao đưa vào sử dụng trong giai đoạn N+5-N+9</t>
  </si>
  <si>
    <t>Dự án dự kiến hoàn thành sau giai đoạn N+5-N+9</t>
  </si>
  <si>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</si>
  <si>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 (2) Phần vốn đối ứng là phần vốn trong nước tính theo tiền Việt Nam đồng</t>
  </si>
  <si>
    <t>- (3) Số vốn nước ngoài (tính bằng nguyên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</si>
  <si>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(4) Giai đoạn N là giai đoạn đang thực hiện kế hoạch (tính theo thời điểm báo cáo)</t>
  </si>
  <si>
    <t>Biểu mẫu số 10</t>
  </si>
  <si>
    <t>DỰ KIẾN KHẢ NĂNG GIẢI NGÂN KẾ HOẠCH VỐN ODA NGUỒN NGÂN SÁCH NHÀ NƯỚC 5 NĂM GIAI ĐOẠN N+1 CÁC CHƯƠNG TRÌNH, DỰ ÁN 
DỰ KIẾN KÝ KẾT HIỆP ĐỊNH HOẶC CAM KẾT VỚI NHÀ TÀI TRỢ TRONG 6 THÁNG CUỐI CỦA NĂM THỨ NĂM GIAI ĐOẠN N VÀ TRONG NĂM ĐẦU TIÊN GIAI ĐOẠN N+1</t>
  </si>
  <si>
    <t>Dự kiến giải ngân kế hoạch 5 năm giai đoạn N+1</t>
  </si>
  <si>
    <t>Dự án dự kiến hoàn thành và bàn giao đưa vào sử dụng giai đoạn N+5-N+9</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</si>
  <si>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</si>
  <si>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Giai đoạn N là giai đoạn đang thực hiện kế hoạch (tính theo thời điểm báo cáo)</t>
  </si>
  <si>
    <t>Biểu mẫu số 11</t>
  </si>
  <si>
    <t>DANH MỤC CÁC CHƯƠNG TRÌNH, DỰ ÁN KÊU GỌI NHÀ TÀI TRỢ ĐẦU TƯ TRONG 5 NĂM GIAI ĐOẠN N+1</t>
  </si>
  <si>
    <t>DANH MỤC CÁC DỰ ÁN KÊU GỌI NHÀ TÀI TRỢ ĐẦU TƯ TRONG 5 NĂM 2016-2020</t>
  </si>
  <si>
    <t>Biểu mẫu số 12</t>
  </si>
  <si>
    <t>Các tỉnh, thành phố trực thuộc trung ương</t>
  </si>
  <si>
    <t>Tỉnh/thành phố …</t>
  </si>
  <si>
    <t>TÌNH HÌNH THỰC HIỆN KẾ HOẠCH VỐN TRÁI PHIẾU CHÍNH PHỦ 5 NĂM GIAI ĐOẠN N VÀ DỰ KIẾN KẾ HOẠCH 5 NĂM GIAI ĐOẠN N+1</t>
  </si>
  <si>
    <t>Quyết định đầu tư điều chỉnh đã được cấp có thẩm quyền phê duyệt</t>
  </si>
  <si>
    <t>Quyết định đầu tư cập nhật hoặc điêu chỉnh theo quy định tại NQ 726/NQ-UBTVQH13 và NQ 736/NQ-UBTVQH13</t>
  </si>
  <si>
    <t>Lũy kế khối lượng thực hiện từ khởi công đến hết ngày 31/12 năm thứ năm của giai đoạn N-1</t>
  </si>
  <si>
    <t>Lũy kế vốn đã bố trí từ khởi công đến hết ngày 31/12 năm thứ năm của giai đoạn N-1</t>
  </si>
  <si>
    <t>Lũy kế vốn đã giải ngân từ khởi công đến hết ngày 31/12 năm thứ năm của giai đoạn N-1</t>
  </si>
  <si>
    <t>Dự kiến kế hoạch năm thứ nhất giai đoạn N+1</t>
  </si>
  <si>
    <t>Kế hoạch vốn được giao giai đoạn
N</t>
  </si>
  <si>
    <t>Số vốn TPCP ứng trước đến 31/12 năm thứ tư của giai đoạn N chưa bố trí thu hồi</t>
  </si>
  <si>
    <t>Lũy kế khối lượng thực hiện từ 1/01 năm đầu đến 31/12 năm thứ tư của giai đoạn N</t>
  </si>
  <si>
    <t>Lũy kế giải ngân từ từ 1/01 năm đầu đến đến hết 31/01 năm thứ năm của giai đoạn N</t>
  </si>
  <si>
    <t>Đề xuất điều chỉnh KH vốn TPCP giai đoạn N (nếu có)</t>
  </si>
  <si>
    <t>Số QĐ; ngày, tháng, năm ban hành</t>
  </si>
  <si>
    <t>Trong đó:  TPCP</t>
  </si>
  <si>
    <t>Trong đó: TPCP</t>
  </si>
  <si>
    <t>Trong đó: KH vốn TPCP</t>
  </si>
  <si>
    <t>Trong đó: vốn TPCP</t>
  </si>
  <si>
    <t>Điều chỉnh do tăng giá</t>
  </si>
  <si>
    <t>Thay đổi giải pháp kỹ thuật</t>
  </si>
  <si>
    <t>Điều chỉnh tăng quy mô</t>
  </si>
  <si>
    <t>Vốn NSNN</t>
  </si>
  <si>
    <t>Trong đó: thu hồi ứng trước</t>
  </si>
  <si>
    <t>NGÀNH/LĨNH VỰC/CHƯƠNG TRÌNH…</t>
  </si>
  <si>
    <t>Dự án chuyển tiếp từ trước năm cuối của giai đoạn trước sang giai đoạn N-N+4</t>
  </si>
  <si>
    <t>Dự án hoàn thành và bàn giao đưa vào sử dụng giai đoạn N-N+4</t>
  </si>
  <si>
    <t>Dự án chuyển tiếp sang giai đoạn 2016-2020</t>
  </si>
  <si>
    <t>Ghi chú: (*) Số vốn kế hoạch theo số vốn đã được cấp có thẩm quyền cho phép điều chỉnh (nếu có); không bao gồm các khoản ứng trước.</t>
  </si>
  <si>
    <t>Biểu mẫu số 13</t>
  </si>
  <si>
    <t>Ủy ban nhân dân các tỉnh, thành phố trực thuộc Trung ương</t>
  </si>
  <si>
    <r>
      <rPr>
        <b/>
        <sz val="14"/>
        <color theme="1"/>
        <rFont val="Times New Roman"/>
        <family val="1"/>
      </rPr>
      <t xml:space="preserve">BÁO CÁO TÌNH HÌNH THÔNG BÁO VÀ GIAO KẾ HOẠCH ĐẦU TƯ CÔNG GIAI ĐOẠN N </t>
    </r>
    <r>
      <rPr>
        <b/>
        <vertAlign val="superscript"/>
        <sz val="14"/>
        <color theme="1"/>
        <rFont val="Times New Roman"/>
        <family val="1"/>
      </rPr>
      <t>(1)</t>
    </r>
  </si>
  <si>
    <t>Chương trình/ngành, lĩnh vực</t>
  </si>
  <si>
    <t>Kế hoạch giai đoạn N được Thủ tướng Chính phủ và Bộ Kế hoạch và Đầu tư giao</t>
  </si>
  <si>
    <t>Kế hoạch giai đoạn N được địa phương giao</t>
  </si>
  <si>
    <t>Số dự án</t>
  </si>
  <si>
    <t>Số vốn</t>
  </si>
  <si>
    <t>Trong nước</t>
  </si>
  <si>
    <t>Ngoài nước</t>
  </si>
  <si>
    <t>Số dự án giao theo QĐ giao KH giai đoạn N của Thủ tướng Chính phủ</t>
  </si>
  <si>
    <t>Số dự án không được Thủ tướng Chính phủ giao chi tiết, do các địa phương giao</t>
  </si>
  <si>
    <t>TỔNG SỐ VỐN</t>
  </si>
  <si>
    <t>Vốn đầu tư phát triển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</si>
  <si>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</si>
  <si>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</si>
  <si>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</si>
  <si>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</si>
  <si>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</si>
  <si>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</si>
  <si>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</si>
  <si>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</si>
  <si>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</si>
  <si>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</si>
  <si>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</si>
  <si>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Phân loại như trên</t>
  </si>
  <si>
    <t>Các chương trình mục tiêu</t>
  </si>
  <si>
    <t>Vốn Trái phiếu Chính phủ</t>
  </si>
  <si>
    <t>Ngành, lĩnh vực…</t>
  </si>
  <si>
    <t>Vốn công trái quốc gia</t>
  </si>
  <si>
    <t>Vốn tín dụng đầu tư phát triển của Nhà nước</t>
  </si>
  <si>
    <t>Vốn từ nguồn thu để lại cho đầu tư nhưng chưa đưa vào cân đối ngân sách nhà nước</t>
  </si>
  <si>
    <t>Vốn trái phiếu chính quyền địa phương</t>
  </si>
  <si>
    <t>Các khoản vốn vay khác của ngân sách địa phương để đầu tư</t>
  </si>
  <si>
    <t>(1) Giai đoạn N là giai đoạn đang thực hiện kế hoạch (dựa trên thời điểm báo cáo)</t>
  </si>
  <si>
    <t>Biểu mẫu số 15</t>
  </si>
  <si>
    <t>TỔNG HỢP TÌNH HÌNH THỰC HIỆN KẾ HOẠCH ĐẦU TƯ PHÁT TRIỂN ĐẾN HẾT 30/6 NĂM THỨ 3 GIAI ĐOẠN N (1) , ƯỚC GIẢI NGÂN KẾ HOẠCH TRUNG HẠN GIAI ĐOẠN N VÀ NHU CẦU ĐIỀU CHỈNH KẾ HOẠCH TRUNG HẠN GIAI ĐOẠN N THEO NGÀNH, LĨNH VỰC</t>
  </si>
  <si>
    <t>Kế hoạch trung hạn giai đoạn N</t>
  </si>
  <si>
    <t>Ước giải ngân kế hoạch trung hạn giai đoạn N</t>
  </si>
  <si>
    <t>Nhu cầu điều chỉnh kế hoạch đầu tư trung hạn giai đoạn N</t>
  </si>
  <si>
    <r>
      <rPr>
        <sz val="14"/>
        <color indexed="8"/>
        <rFont val="Times New Roman"/>
        <family val="1"/>
      </rPr>
      <t xml:space="preserve">Trong đó: Kế hoạch và bổ sung vốn từ năm đầu tiên đến 30/6 năm thứ ba của giai đoạn N được cấp có thẩm quyền quyết định </t>
    </r>
    <r>
      <rPr>
        <vertAlign val="superscript"/>
        <sz val="14"/>
        <color indexed="8"/>
        <rFont val="Times New Roman"/>
        <family val="1"/>
      </rPr>
      <t>(1)</t>
    </r>
  </si>
  <si>
    <r>
      <rPr>
        <sz val="14"/>
        <color indexed="8"/>
        <rFont val="Times New Roman"/>
        <family val="1"/>
      </rPr>
      <t xml:space="preserve">Trong đó: Ước giải ngân kế hoạch và số vốn bổ sung từ năm đầu tiên đến 30/6 năm thứ 3 của giai đoạn N đến hết thời gian quy định </t>
    </r>
    <r>
      <rPr>
        <vertAlign val="superscript"/>
        <sz val="14"/>
        <color indexed="8"/>
        <rFont val="Times New Roman"/>
        <family val="1"/>
      </rPr>
      <t>(1)</t>
    </r>
  </si>
  <si>
    <r>
      <rPr>
        <i/>
        <sz val="16"/>
        <color indexed="8"/>
        <rFont val="Times New Roman"/>
        <family val="1"/>
      </rP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</si>
  <si>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Biểu mẫu số 25</t>
  </si>
  <si>
    <t>(Ban hành kèm theo Thông tư số           /2016/TT-BKHĐT ngày      tháng      năm 2016
 của Bộ Kế hoạch và Đầu tư)</t>
  </si>
  <si>
    <r>
      <rPr>
        <b/>
        <sz val="14"/>
        <rFont val="Times New Roman"/>
        <family val="1"/>
      </rPr>
      <t>DANH MỤC CÁC DỰ ÁN ĐỀ NGHỊ BỔ SUNG KẾ HOẠCH ĐẦU TƯ TRUNG HẠN GIAI ĐOẠN N</t>
    </r>
    <r>
      <rPr>
        <b/>
        <vertAlign val="superscript"/>
        <sz val="14"/>
        <rFont val="Times New Roman"/>
        <family val="1"/>
      </rPr>
      <t>(1)</t>
    </r>
    <r>
      <rPr>
        <b/>
        <sz val="14"/>
        <rFont val="Times New Roman"/>
        <family val="1"/>
      </rPr>
      <t xml:space="preserve"> - (N+4) VỐN ……..</t>
    </r>
    <r>
      <rPr>
        <b/>
        <vertAlign val="superscript"/>
        <sz val="14"/>
        <rFont val="Times New Roman"/>
        <family val="1"/>
      </rPr>
      <t>(2)</t>
    </r>
  </si>
  <si>
    <t>Mã dự án</t>
  </si>
  <si>
    <t xml:space="preserve">Quyết định đầu tư </t>
  </si>
  <si>
    <t>Lũy kế vốn bố trí đến hết 31/12 năm cuối của giai đoạn N-1</t>
  </si>
  <si>
    <t>Nhu cầu bổ sung kế hoạch trung hạn giai đoạn N-N+4</t>
  </si>
  <si>
    <r>
      <rPr>
        <sz val="12"/>
        <rFont val="Times New Roman"/>
        <family val="1"/>
      </rPr>
      <t>Trong đó: Vốn…</t>
    </r>
    <r>
      <rPr>
        <vertAlign val="superscript"/>
        <sz val="12"/>
        <rFont val="Times New Roman"/>
        <family val="1"/>
      </rPr>
      <t>(2)</t>
    </r>
  </si>
  <si>
    <r>
      <rPr>
        <sz val="12"/>
        <rFont val="Times New Roman"/>
        <family val="1"/>
      </rPr>
      <t>Trong đó: Vốn…</t>
    </r>
    <r>
      <rPr>
        <vertAlign val="superscript"/>
        <sz val="12"/>
        <rFont val="Times New Roman"/>
        <family val="1"/>
      </rPr>
      <t>(1)</t>
    </r>
  </si>
  <si>
    <r>
      <rPr>
        <sz val="12"/>
        <rFont val="Times New Roman"/>
        <family val="1"/>
      </rPr>
      <t>Trong đó:  Vốn…</t>
    </r>
    <r>
      <rPr>
        <vertAlign val="superscript"/>
        <sz val="12"/>
        <rFont val="Times New Roman"/>
        <family val="1"/>
      </rPr>
      <t>(1)</t>
    </r>
  </si>
  <si>
    <t>Năm( N+2)</t>
  </si>
  <si>
    <t>Năm (N+3)</t>
  </si>
  <si>
    <t>Năm (N+4)</t>
  </si>
  <si>
    <t>NGUỒN VỐN…</t>
  </si>
  <si>
    <t>NGÀNH/LĨNH VỰC/CHƯƠNG TRÌNH …..</t>
  </si>
  <si>
    <t>I.1</t>
  </si>
  <si>
    <t>Dự án…</t>
  </si>
  <si>
    <t>….</t>
  </si>
  <si>
    <t>I.2</t>
  </si>
  <si>
    <t>Phân loại như mục A nêu trên</t>
  </si>
  <si>
    <t xml:space="preserve"> (1) N là năm bắt đầu của kế hoạch đầu tư công trung hạn giai đoạn hiện tại</t>
  </si>
  <si>
    <t>(2) Mỗi nguồn vốn đầu tư công lập thành một biểu riêng</t>
  </si>
  <si>
    <t xml:space="preserve"> ĐVT: Triệu đồng</t>
  </si>
  <si>
    <t>Phân loại dự án</t>
  </si>
  <si>
    <t>Chủ đầu tư</t>
  </si>
  <si>
    <t>Tổng mức đầu tư 
được duyệt</t>
  </si>
  <si>
    <t>Số QĐ, ngày, tháng, năm phê duyệt</t>
  </si>
  <si>
    <t>Tổng mức 
đầu tư</t>
  </si>
  <si>
    <t>MUA SẮM THIẾT BỊ DẠY HỌC</t>
  </si>
  <si>
    <t>Dự án khởi công mới năm 2021 - 2025</t>
  </si>
  <si>
    <t>Dự án mua sắm thiết bị dạy học tối thiểu lớp 2 cho các trường Tiểu học.</t>
  </si>
  <si>
    <t>BQLDA công trình XD&amp;DD</t>
  </si>
  <si>
    <t>Toàn địa bàn tỉnh</t>
  </si>
  <si>
    <t>Mua sắm thiết bị dạy học</t>
  </si>
  <si>
    <t>2021-2022</t>
  </si>
  <si>
    <t>3014/QĐ-UBND ngày 16/11/2020</t>
  </si>
  <si>
    <t>3015/QĐ-UBND ngày 16/11/2020</t>
  </si>
  <si>
    <t>Dự án mua sắm thiết bị dạy học dùng chung cho lớp 2 các trường Tiểu học và lớp 6 cho các trường THCS trên địa bàn tỉnh.</t>
  </si>
  <si>
    <t>Mua sắm thiết bị dạy học dùng chung</t>
  </si>
  <si>
    <t>3016/QĐ-UBND ngày 16/11/2020</t>
  </si>
  <si>
    <t>Dự án mua sắm thiết bị dạy học tối thiểu lớp 3 cho các trường Tiểu học.</t>
  </si>
  <si>
    <t>2022-2023</t>
  </si>
  <si>
    <t>Dự án mua sắm thiết bị dạy học tối thiểu lớp 7 cho các trường THCS</t>
  </si>
  <si>
    <t>Dự án Mua sắm thiết bị dạy học tối thiểu lớp 10 cho các trường THPT và Trung tâm GDNN-GDTX các huyện, thành phố</t>
  </si>
  <si>
    <t>Thiết bị dùng chung</t>
  </si>
  <si>
    <t>HỖ TRỢ ĐẦU TƯ CƠ SỞ VẬT CHẤT</t>
  </si>
  <si>
    <t>THÀNH PHỐ BẾN TRE</t>
  </si>
  <si>
    <t>Cải tạo khối hành chính
 và các hạng mục phụ thuộc dự án Trường tiểu học Phú Thọ.</t>
  </si>
  <si>
    <t>UBND thành phố Bến tre</t>
  </si>
  <si>
    <t>thành phố Bến tre</t>
  </si>
  <si>
    <t>Cải tạo, 
sửa chữa</t>
  </si>
  <si>
    <t>số 417/QĐ-SXD ngày 13/11/2020</t>
  </si>
  <si>
    <t>HUYỆN MỎ CÀY BẮC</t>
  </si>
  <si>
    <t>Dự án chuyển tiếp hoàn thành sau năm 2021</t>
  </si>
  <si>
    <t>Trường Mẫu giáo Tân Bình</t>
  </si>
  <si>
    <t>UBND huyện Mỏ Cày Bắc</t>
  </si>
  <si>
    <t>xã Tân Bình</t>
  </si>
  <si>
    <t>Xây mới 11 phòng học, 11 phòng chức năng, xây dựng các HMP</t>
  </si>
  <si>
    <t>2020-2022</t>
  </si>
  <si>
    <t>2439/QĐ-UBND,
 31/10/2019</t>
  </si>
  <si>
    <t>Trường Trung học cơ sở Tân Bình</t>
  </si>
  <si>
    <t>Xây dựng mới 16 phòng chức năng, xây dựng các HMP</t>
  </si>
  <si>
    <t>2437/QĐ-UBND,
 31/10/2019</t>
  </si>
  <si>
    <t>Trường Mầm non Hưng Khánh Trung A</t>
  </si>
  <si>
    <t>xã Hưng Khánh Trung A</t>
  </si>
  <si>
    <t>Xây dựng 9 phòng học, 11 phòng chức năng, xây dựng các HMP</t>
  </si>
  <si>
    <t>2438/QĐ-UBND,
 31/10/2019</t>
  </si>
  <si>
    <t>Trường Mẫu giáo Thanh Tân</t>
  </si>
  <si>
    <t>xã
 Thanh Tân</t>
  </si>
  <si>
    <t>Xây dựng 13 phòng học, 14 phòng chức năng, xây dựng các HMP</t>
  </si>
  <si>
    <t>2021-2023</t>
  </si>
  <si>
    <t>Trường Tiểu học Thanh Tân</t>
  </si>
  <si>
    <t>Xây dựng 10 phòng học, 02 phòng chức năng, xây dựng các HMP</t>
  </si>
  <si>
    <t>428/QĐ-SXD, 13/11/2020</t>
  </si>
  <si>
    <t>Trường Tiểu học Hòa Lộc</t>
  </si>
  <si>
    <t xml:space="preserve">xã Hòa Lộc </t>
  </si>
  <si>
    <t>Xây dựng 7 phòng học, 02 phòng chức năng, sửa chữa 02 phòng học thành 03 phòng chức năng; các HMP</t>
  </si>
  <si>
    <t>429/QĐ-SXD, 13/11/2020</t>
  </si>
  <si>
    <t>Trường Trung học cơ sở Hòa Lộc</t>
  </si>
  <si>
    <t>Xây dựng 17 phòng chức năng, nhà đa năng; cải tạo 03 phòng học thành 04 phòng chức năng; sơn sửa dãy 10 phòng học; các HMP</t>
  </si>
  <si>
    <t>1155/QĐ-UBND, 27/5/2021</t>
  </si>
  <si>
    <t>HUYỆN GIỒNG TRÔM</t>
  </si>
  <si>
    <t>Dự án khởi công mới giai đoạn 2021 - 2025</t>
  </si>
  <si>
    <t>Trường Mẫu giáo Thạnh Phú Đông</t>
  </si>
  <si>
    <t>UBND huyện Giồng Trôm</t>
  </si>
  <si>
    <t>xã Thạnh Phú Đông</t>
  </si>
  <si>
    <t>Xây dựng 07 phòng học, 13 phòng chức năng, cải tạo 01 phòng học thành 01 phòng chức năng;  các HMP</t>
  </si>
  <si>
    <t>2968/QĐ-UBND,
13/11/2020</t>
  </si>
  <si>
    <t>Trường Mầm non Sơn Phú</t>
  </si>
  <si>
    <t>xã Sơn Phú</t>
  </si>
  <si>
    <t>Xây dựng 04 phòng học, 13 phòng chức năng;  các HMP</t>
  </si>
  <si>
    <t>416/QĐ-SXD,
13/11/2020</t>
  </si>
  <si>
    <t>Trường Tiểu học Sơn Phú</t>
  </si>
  <si>
    <t>Xây dựng 05 phòng học, 15 phòng chức năng;  các HMP</t>
  </si>
  <si>
    <t>2969/QĐ-UBND,
13/11/2020</t>
  </si>
  <si>
    <t>Trường Mẫu giáo Hưng Lễ</t>
  </si>
  <si>
    <t>xã 
Hưng Lễ</t>
  </si>
  <si>
    <t>Xây dựng 09 phòng học, 06 phòng chức năng; cải tạo 07 phòng chức năng; các HMP</t>
  </si>
  <si>
    <t>2967/QĐ-UBND,
13/11/2020</t>
  </si>
  <si>
    <t>Trường Tiểu học Hưng Lễ</t>
  </si>
  <si>
    <t>Xây dựng 12 phòng học, 20 phòng chức năng; cải tạo 07 phòng học, 03 phòng chức năng; các HMP</t>
  </si>
  <si>
    <t>2966/QĐ-UBND,
13/11/2020</t>
  </si>
  <si>
    <t>Trường THCS Hưng Lễ</t>
  </si>
  <si>
    <t>Xây dựng 12 phòng học, 26 phòng chức năng; các HMP</t>
  </si>
  <si>
    <t>2965/QĐ-UBND,
13/11/2020</t>
  </si>
  <si>
    <t>HUYỆN BA TRI</t>
  </si>
  <si>
    <t>Trường THCS Thị Trấn Ba Tri</t>
  </si>
  <si>
    <t>UBND 
Ba Tri</t>
  </si>
  <si>
    <t>thị trấn Ba Tri</t>
  </si>
  <si>
    <t>18 phòng học lý thuyết +19 phòng chức năng, các HMP</t>
  </si>
  <si>
    <t>2019-2023</t>
  </si>
  <si>
    <t>2347/QĐ-UBND ngày 30/10/2018</t>
  </si>
  <si>
    <t>Trường Tiểu học An Hòa Tây</t>
  </si>
  <si>
    <t>UBND huyện Ba Tri</t>
  </si>
  <si>
    <t>xã An Hòa Tây</t>
  </si>
  <si>
    <t>08 phòng học lý thuyết +13 phòng chức năng, các hạng mục phụ</t>
  </si>
  <si>
    <t>2015/QĐ-UBND ngày 16/9/2019</t>
  </si>
  <si>
    <t>Trường Tiểu học Tân Xuân 2</t>
  </si>
  <si>
    <t>xã Tân Xuân</t>
  </si>
  <si>
    <t>08 phòng học lý thuyết +13 phòng chức năng, các HMP</t>
  </si>
  <si>
    <t>2014/QĐ-UBND ngày 16/9/2019</t>
  </si>
  <si>
    <t>Trường Mẫu giáo Vĩnh Hòa</t>
  </si>
  <si>
    <t>xã Vĩnh Hòa</t>
  </si>
  <si>
    <t>06 phòng học +10 phòng chức năng, các HMP</t>
  </si>
  <si>
    <t>2341/QĐ-UBND, 24/10/2019</t>
  </si>
  <si>
    <t>Trường Mầm non Mỹ Thạnh</t>
  </si>
  <si>
    <t>Xã 
Mỹ Thạnh</t>
  </si>
  <si>
    <t>10 phòng học, 11 phòng chức năng</t>
  </si>
  <si>
    <t>2814/QĐ-UBND, 29/10/2020</t>
  </si>
  <si>
    <t>Trường Tiểu học Mỹ Thạnh</t>
  </si>
  <si>
    <t>4 phòng học, 11phòng chức năng, nâng cấp, sửa chữa 11 PH, 6 phòng chức năng</t>
  </si>
  <si>
    <t>2816/QĐ-UBND, 29/10/2020</t>
  </si>
  <si>
    <t>Trường Trung học cơ sở Mỹ Thạnh</t>
  </si>
  <si>
    <t>12 phòng chức năng, Sửa chữa 8 PH hiện hữu thành 10 phòng chức năng</t>
  </si>
  <si>
    <t>2815/QĐ-UBND, 29/10/2020</t>
  </si>
  <si>
    <t>Trường THCS Trần Hữu Nghiệp</t>
  </si>
  <si>
    <t>xã Tân Thuỷ</t>
  </si>
  <si>
    <t>18 phòng chức năng</t>
  </si>
  <si>
    <t>2961/QĐ-UBND, 13/11/2020</t>
  </si>
  <si>
    <t>HUYỆN THẠNH PHÚ</t>
  </si>
  <si>
    <t>Trường THCS Thị Trấn Thạnh Phú</t>
  </si>
  <si>
    <t>UBND huyện Thạnh Phú</t>
  </si>
  <si>
    <t>TT Thạnh Phú</t>
  </si>
  <si>
    <t>24 phòng học lý thuyết +19 phòng chức năng, các HMP</t>
  </si>
  <si>
    <t>2019-2022</t>
  </si>
  <si>
    <t>1107/QĐ-UBND ngày 24/5/2019</t>
  </si>
  <si>
    <t>Trường Tiểu học Hòa Lợi</t>
  </si>
  <si>
    <t>xã Hòa Lợi</t>
  </si>
  <si>
    <t>07 phòng học lý thuyết +13 phòng chức năng, các HMP</t>
  </si>
  <si>
    <t>2368/QĐ-UBND, 28/10/2019</t>
  </si>
  <si>
    <t>Trường Mẫu giáo Phú Khánh</t>
  </si>
  <si>
    <t>Xã Phú Khánh</t>
  </si>
  <si>
    <t>6 phòng học lý thuyết +10 phòng chức năng, các HMP</t>
  </si>
  <si>
    <t>2103/QĐ-UBND, 26/9/2019</t>
  </si>
  <si>
    <t>Trường THCS Phú Khánh</t>
  </si>
  <si>
    <t>10 phòng học lý thuyết +14 phòng chức năng, các HMP</t>
  </si>
  <si>
    <t>1931/QĐ-UBND, 09/9/2019</t>
  </si>
  <si>
    <t>Trường Tiểu học Giao Thạnh</t>
  </si>
  <si>
    <t>Xã Giao Thạnh</t>
  </si>
  <si>
    <t>15 phòng học lý thuyết + 16 phòng chức năng, các HMP</t>
  </si>
  <si>
    <t>2102/QĐ-UBND, 26/9/2019</t>
  </si>
  <si>
    <t>Trường Mầm non Tân Phong</t>
  </si>
  <si>
    <t>xã
 Tân Phong</t>
  </si>
  <si>
    <t xml:space="preserve">11 phòng học, 2 phòng chức năng, cải tạo 13 phòng học </t>
  </si>
  <si>
    <t>2985/QĐ-UBND ngày 13/11/2020</t>
  </si>
  <si>
    <t>Trường Trung học cơ sở Tân Phong</t>
  </si>
  <si>
    <t>xã 
Tân Phong</t>
  </si>
  <si>
    <t>14 phòng học, 16 phòng chức năng</t>
  </si>
  <si>
    <t>2986/QĐ-UBND ngày 13/11/2020</t>
  </si>
  <si>
    <t>Trường Mẫu giáo Thạnh Phong (điểm ấp Thạnh Hòa)</t>
  </si>
  <si>
    <t>xã Thạnh Phong</t>
  </si>
  <si>
    <t>Sửa chữa 02 phòng học</t>
  </si>
  <si>
    <t>số 442/QĐ-SXD ngày 13/11/2020</t>
  </si>
  <si>
    <t>Trường Tiểu học Thạnh Phong B</t>
  </si>
  <si>
    <t>02 phòng chức năng, cải tạo 12 phòng học</t>
  </si>
  <si>
    <t>số 438/QĐ-SXD ngày 13/11/2020</t>
  </si>
  <si>
    <t>HUYỆN MỎ CÀY NAM</t>
  </si>
  <si>
    <t>Trường Mẫu giáo Cẩm Sơn</t>
  </si>
  <si>
    <t>UBND huyện MCN</t>
  </si>
  <si>
    <t>xã Cẩm Sơn</t>
  </si>
  <si>
    <t>08 phòng học lý thuyết + 11 phòng chức năng và các HMP</t>
  </si>
  <si>
    <t>2373/QĐ-UBND ngày 28/9/2019</t>
  </si>
  <si>
    <t>Trường Mẫu  giáo Tân Hội</t>
  </si>
  <si>
    <t>xã Tân hội</t>
  </si>
  <si>
    <t>10 phòng học lý thuyết + 11 phòng chức năng và các HMP</t>
  </si>
  <si>
    <t>2413/QĐ-UBND ngày 31/10/2019</t>
  </si>
  <si>
    <t>Trường Mẫu giáo Phước Hiệp</t>
  </si>
  <si>
    <t>UBND huyện Mỏ Cày Nam</t>
  </si>
  <si>
    <t>xã Phước Hiệp</t>
  </si>
  <si>
    <t xml:space="preserve">Xây dựng mới 07 phòng học, 10 phòng chức năng, xây dựng các HMP </t>
  </si>
  <si>
    <t>2436/QĐ-UBND, 
31/10/2019</t>
  </si>
  <si>
    <t>Trường Tiểu học - THCS Phước Hiệp</t>
  </si>
  <si>
    <t xml:space="preserve">Xây dựng 10 phòng học; sửa chữa 05 phòng học thành 05 phòng chức năng; </t>
  </si>
  <si>
    <t>200/QĐ-SXD, 
31/10/2019</t>
  </si>
  <si>
    <t>Trường Tiểu học Thành Thới A1</t>
  </si>
  <si>
    <t>xã Thành Thới A</t>
  </si>
  <si>
    <t>20 phòng học lý thuyết các hạng mục phụ, thiết bị</t>
  </si>
  <si>
    <t>2372/QĐ-UBND ngày 28/10/2019</t>
  </si>
  <si>
    <t>Trường Mẫu giáo Ngãi Đăng</t>
  </si>
  <si>
    <t>xã Ngãi Đăng</t>
  </si>
  <si>
    <t>02 phòng học, 07 phòng chức năng</t>
  </si>
  <si>
    <t>số 430/QĐ-SXD ngày 11/11/2020</t>
  </si>
  <si>
    <t>Trường Tiểu học Ngãi Đăng</t>
  </si>
  <si>
    <t>01 phòng học, 02 phòng chức năng</t>
  </si>
  <si>
    <t>số 431/QĐ-SXD ngày 11/11/2020</t>
  </si>
  <si>
    <t>Trường Mầm non An Thạnh</t>
  </si>
  <si>
    <t>xã An Thạnh</t>
  </si>
  <si>
    <t>16 phòng học, 11 phòng chức năng</t>
  </si>
  <si>
    <t>số 432/QĐ-SXD ngày 11/11/2020</t>
  </si>
  <si>
    <t>Trường Tiểu học An Thạnh 2</t>
  </si>
  <si>
    <t>5 phòng học, 01 phòng chức năng</t>
  </si>
  <si>
    <t>Trường Mẫu giáo Bình Khánh Đông</t>
  </si>
  <si>
    <t>xã Bình Khánh</t>
  </si>
  <si>
    <t>8 phòng học, 11 phòng chức năng</t>
  </si>
  <si>
    <t>số 3012/QĐ-UBND ngày 16/11/2020</t>
  </si>
  <si>
    <t>Trường Tiểu học Bình Khánh Đông</t>
  </si>
  <si>
    <t>8 phòng học, cải tạo hội trường</t>
  </si>
  <si>
    <t>số 433/QĐ-SXD ngày 11/11/2020</t>
  </si>
  <si>
    <t>HUYỆN BÌNH ĐẠI</t>
  </si>
  <si>
    <t>Trường Tiểu học Nguyễn Thị Hoa</t>
  </si>
  <si>
    <t>UBND huyện Bình Đại</t>
  </si>
  <si>
    <t>xã Vang Quới Tây</t>
  </si>
  <si>
    <t>12 phòng học lý thuyết +13 phòng chức năng, các HMP</t>
  </si>
  <si>
    <t>2404/QĐ-UBND 30/10/2019</t>
  </si>
  <si>
    <t>Trường Tiểu học Vang Quới Đông</t>
  </si>
  <si>
    <t>xã Vang Quới Đông</t>
  </si>
  <si>
    <t>15 phòng học lý thuyết +02 phòng chức năng, các HMP</t>
  </si>
  <si>
    <t>186/QĐ-SXD 30/10/2019</t>
  </si>
  <si>
    <t>Trường Tiểu học Thới Lai</t>
  </si>
  <si>
    <t>xã Thới Lai</t>
  </si>
  <si>
    <t>17 phòng học lý thuyết +06 phòng chức năng, các HMP</t>
  </si>
  <si>
    <t>2397/QĐ-UB 30/10/2019</t>
  </si>
  <si>
    <t>Trường Tiểu học Thạnh Trị</t>
  </si>
  <si>
    <t>xã Thạnh Trị</t>
  </si>
  <si>
    <t xml:space="preserve">06 phòng học lý thuyết các hạng mục phụ, thiết bị, </t>
  </si>
  <si>
    <t>187/QĐ-SXD 30/10/2019</t>
  </si>
  <si>
    <t>Trường Mẫu giáo Hoa Sen, xã Thới Lai</t>
  </si>
  <si>
    <t>UBND huyện
 Bình Đại</t>
  </si>
  <si>
    <t>Xây mới 08 phòng học; cải tạo, sửa chữa khối lớp học hiện tại thành 10 phòng chức năng</t>
  </si>
  <si>
    <t>194/QĐ-SXD, 
31/10/2019</t>
  </si>
  <si>
    <t xml:space="preserve">Trường Tiểu học Võ Văn Lân </t>
  </si>
  <si>
    <t>xã Thạnh Phước</t>
  </si>
  <si>
    <t>12 phòng học + 16 phòng chức năng  các hạng mục phụ</t>
  </si>
  <si>
    <t>1803/QĐ-UBND, 22/8/2019</t>
  </si>
  <si>
    <t>Trường Trung học cơ sở Thới Lai</t>
  </si>
  <si>
    <t>7833631</t>
  </si>
  <si>
    <t>12 phòng học, 19 phòng chức năng</t>
  </si>
  <si>
    <t>1119/QĐ-UBND ngày 15/5/2020</t>
  </si>
  <si>
    <t>Sửa chữa, nâng cấp Trường Trung học cơ sở Đỗ Nghĩa Trọng</t>
  </si>
  <si>
    <t>xã Lộc Thuận</t>
  </si>
  <si>
    <t>Cải tạo,
 sữa chữa</t>
  </si>
  <si>
    <t>421/QĐ-SXD 
ngày 13/11/2020</t>
  </si>
  <si>
    <t>Trường Tiểu học Đỗ Nghĩa Trọng</t>
  </si>
  <si>
    <t>13 phòng học, 21 phòng chức năng</t>
  </si>
  <si>
    <t>2972/QĐ-UBND 
ngày 13/11/2020</t>
  </si>
  <si>
    <t>HUYỆN CHÂU THÀNH</t>
  </si>
  <si>
    <t>Trường Tiểu học Trần Văn Ơn</t>
  </si>
  <si>
    <t>UBND huyện Châu Thành</t>
  </si>
  <si>
    <t>xã Phước Thạnh</t>
  </si>
  <si>
    <t>10 phòng học lý thuyết +13 phòng chức năng</t>
  </si>
  <si>
    <t>2408/QĐ-UBND, 
30/10/2019</t>
  </si>
  <si>
    <t>Trường Tiểu học An Khánh</t>
  </si>
  <si>
    <t>xã An Khánh</t>
  </si>
  <si>
    <t>15 phòng học lý thuyết +13 phòng chức năng</t>
  </si>
  <si>
    <t>2407/QĐ-UBND, 
30/10/2020</t>
  </si>
  <si>
    <t>Trường mẫu giáo An Hóa</t>
  </si>
  <si>
    <t>xã An Hóa</t>
  </si>
  <si>
    <t>07 phòng học + 11 phòng chức năng</t>
  </si>
  <si>
    <t>2411/QĐ-UBND, 
30/10/2019</t>
  </si>
  <si>
    <t>Trường Tiểu học An Hóa</t>
  </si>
  <si>
    <t>7834407</t>
  </si>
  <si>
    <t>06 phòng chức năng,  cải tạo phòng học hiện hữu</t>
  </si>
  <si>
    <t>195/QĐ-SXD, 
31/10/2019</t>
  </si>
  <si>
    <t>Trường Mẫu giáo Tường Đa</t>
  </si>
  <si>
    <t>xã Tường Đa</t>
  </si>
  <si>
    <t>07 phòng học + 11 phòng chức năng, các HMP</t>
  </si>
  <si>
    <t>2406/QĐ-UBND, 
30/10/2019</t>
  </si>
  <si>
    <t>Trường Tiểu học xã Tường Đa</t>
  </si>
  <si>
    <t>12 phòng học + 14 phòng chức năng</t>
  </si>
  <si>
    <t>2405/QĐ-UBND, 
30/10/2019</t>
  </si>
  <si>
    <t xml:space="preserve">Trường Trung học cơ sở Phan Triêm </t>
  </si>
  <si>
    <t>9 phòng học + 19 phòng chức năng</t>
  </si>
  <si>
    <t>2410/QĐ-UBND, 
30/10/2019</t>
  </si>
  <si>
    <t>Trường Mẫu giáo An Phước</t>
  </si>
  <si>
    <t>7830941</t>
  </si>
  <si>
    <t>xã An Phước</t>
  </si>
  <si>
    <t>07 phòng học +12 phòng chức năng</t>
  </si>
  <si>
    <t>Trường THCS An Phước</t>
  </si>
  <si>
    <t>7830939</t>
  </si>
  <si>
    <t>10 phòng học +16 phòng chức năng</t>
  </si>
  <si>
    <t>2412/QĐ-UBND, 
30/10/2019</t>
  </si>
  <si>
    <t>Trường Mầm non An Hiệp</t>
  </si>
  <si>
    <t>xã An Hiệp</t>
  </si>
  <si>
    <t>8 phòng học, 12 Phòng chức năng</t>
  </si>
  <si>
    <t>2970/QĐ-UBND, 
13/11/2020</t>
  </si>
  <si>
    <t>BAN QLDA DÂN DỤNG VÀ CÔNG NGHIỆP</t>
  </si>
  <si>
    <t>Trường THCS Phước Mỹ Trung</t>
  </si>
  <si>
    <t>xã PhướcMỹ Trung</t>
  </si>
  <si>
    <t>16 phòng lý thuyết + 05 phòng chức năng</t>
  </si>
  <si>
    <t>2389/QĐ-UBND ngày 29/10/2019</t>
  </si>
  <si>
    <t>Trường TH Nhuận Phú Tân 2</t>
  </si>
  <si>
    <t>xã Nhuận Phú Tân</t>
  </si>
  <si>
    <t>10 phòng lý thuyết + 13 phòng chức năng</t>
  </si>
  <si>
    <t>2356/QĐ-UBND ngày 28/10/2019</t>
  </si>
  <si>
    <t>Trường Tiểu học Minh Đức</t>
  </si>
  <si>
    <t>xã Minh Đức</t>
  </si>
  <si>
    <t>16 phòng lý thuyết + 09 phòng chức năng</t>
  </si>
  <si>
    <t>2188/QĐ-UBND ngày 04/10/2019</t>
  </si>
  <si>
    <t>Trường TH An Hiệp</t>
  </si>
  <si>
    <t>20 phòng lý thuyết + 13phòng chức năng</t>
  </si>
  <si>
    <t>2328/QĐ-UBND ngày 23/10/2019</t>
  </si>
  <si>
    <t>Trường THCS An hiệp</t>
  </si>
  <si>
    <t>7751048</t>
  </si>
  <si>
    <t>18 phòng lý thuyết + 16 phòng chức năng</t>
  </si>
  <si>
    <t>Trường Tiểu học An Bình Tây</t>
  </si>
  <si>
    <t>xã An Bình Tây</t>
  </si>
  <si>
    <t>24 phòng lý thuyết + 13 phòng chức năng</t>
  </si>
  <si>
    <t>2334/QĐ-UBND ngày 23/10/2019</t>
  </si>
  <si>
    <t>Trường THCS Bình Thắng</t>
  </si>
  <si>
    <t>xã Bình Thắng</t>
  </si>
  <si>
    <t>13 phòng lý thuyết + 16 phòng chức năng</t>
  </si>
  <si>
    <t>2333/QĐ-UBND ngày 23/10/2019</t>
  </si>
  <si>
    <t>Dự án khởi công mới năm 2021</t>
  </si>
  <si>
    <t>Trường Mầm non Hoạ Mi, thành phố Bến Tre</t>
  </si>
  <si>
    <t>xã 
Sơn Đông</t>
  </si>
  <si>
    <t>14 nhóm lớp,
 14 phòng chức năng</t>
  </si>
  <si>
    <t>2016-2018</t>
  </si>
  <si>
    <t>Hệ thống cống kiểm soát mặn tại các huyện Ba Tri, Mỏ cày Nam và Chợ Lách</t>
  </si>
  <si>
    <t>2017-2021</t>
  </si>
  <si>
    <t>c)</t>
  </si>
  <si>
    <t>2021-2024</t>
  </si>
  <si>
    <t>Hạ tầng thiết yếu hỗ trợ phát triển vùng cây ăn trái hoa kiểng khu vực Mỏ Cày Bắc và huyện Chợ Lách</t>
  </si>
  <si>
    <t>Dự án Tăng cường kiểm soát ô nhiễm môi trường không khí, quan trắc tự động, quản lý hệ thống thông tin, cơ sở dữ liệu tài nguyên</t>
  </si>
  <si>
    <t>huyện Châu Thành</t>
  </si>
  <si>
    <t>Cầu Rạch Vong</t>
  </si>
  <si>
    <t>Đầu tư xây dựng Đường Cảng Giao Long đến Khu công nghiệp Phú Thuận (ĐT.DK.07) liên huyện Châu Thành – Bình Đại</t>
  </si>
  <si>
    <t>Thành phố Bến Tre</t>
  </si>
  <si>
    <t>Dự án mua sắm thiết bị dạy học tối thiểu lớp 6 cho các trường Tiểu học.</t>
  </si>
  <si>
    <t>Dự án mua sắm thiết bị dùng chung cho các trường Tiểu học, THCS, THPT và Trung tâm GDNN-GDTX  trên địa bàn tỉnh</t>
  </si>
  <si>
    <t>2095/QĐ-UBND ngày 01/9/2021</t>
  </si>
  <si>
    <t>1513/QĐ-UBND ngày 01/7/2021</t>
  </si>
  <si>
    <t xml:space="preserve">Kế hoạch số 5837/KH-UBND ngày 27/9/2021 của Ủy ban nhân dân tỉnh về triển khai thực hiện Đề án Chuyển đổi số sử dụng vốn NSNN tỉnh Bến Tre </t>
  </si>
  <si>
    <t>Mở rộng khu vực trường bắn, thao trường huấn luyện Sở Chỉ huy phục vụ huấn luyện diễn tập, hội thi, hội thao của LLVT tỉnh</t>
  </si>
  <si>
    <t>461/QĐ-SXD ngày 27/11/2020</t>
  </si>
  <si>
    <t>Cầu Bình Đông trên ĐH.23, huyện Mỏ Cày Nam</t>
  </si>
  <si>
    <t>3050/QĐ-UBND ngày 20/11/2020</t>
  </si>
  <si>
    <t>Chi trả nợ các khoản do chính quyền địa phương vay</t>
  </si>
  <si>
    <t xml:space="preserve">Lập Quy hoạch đô thị </t>
  </si>
  <si>
    <t>2385/QĐ-UBND ngày 12/10/2021</t>
  </si>
  <si>
    <t>2398/QĐ-UBND ngày 13/10/2021</t>
  </si>
  <si>
    <t>2399/QĐ-UBND ngày 13/10/2021</t>
  </si>
  <si>
    <t>2400/QĐ-UBND ngày 13/10/2021</t>
  </si>
  <si>
    <t>2401/QĐ-UBND ngày 13/10/2021</t>
  </si>
  <si>
    <t>1878/QĐ-UBND ngày 06/8/2021</t>
  </si>
  <si>
    <t>Kế hoạch vốn giai đoạn 2021 - 2025</t>
  </si>
  <si>
    <t>Thu hồi tạm ứng NS</t>
  </si>
  <si>
    <t>ĐVT: Triệu đồng</t>
  </si>
  <si>
    <t>UBND huyện Chợ Lách</t>
  </si>
  <si>
    <t>Ban QLDA NN&amp;PTNT</t>
  </si>
  <si>
    <t>UBND TPBT</t>
  </si>
  <si>
    <t>Cải tạo, nâng cấp hệ thống xử lý nước thải cảng cá Thạnh Phú</t>
  </si>
  <si>
    <t>Hệ thống các bộ dựng sản xuất chương trình chuẩn HD</t>
  </si>
  <si>
    <t>Trường THCS Phú Túc</t>
  </si>
  <si>
    <t>Cầu Yên Hào</t>
  </si>
  <si>
    <t>Trường Tiểu học Tam Phước</t>
  </si>
  <si>
    <t>Quy hoạch tổng thể Bảo tồn, tôn tạo và phát huy giá trị các di tích quốc gia đặc biệt trên địa bàn tỉnh Bến Tre</t>
  </si>
  <si>
    <t>Quy hoạch chi tiết tỷ lệ 1/500 Đồ án xây dựng hồ chứa nước ngọt Lạc Địa xã Phú Lễ, huyện Ba Tri</t>
  </si>
  <si>
    <t>Đồ án điều chỉnh cục bộ quy hoạch chi tiết tỷ lệ 1/2000 Khu tái định cư và nhà ở công nhân phục vụ Khu công nghiệp Phú Thuận</t>
  </si>
  <si>
    <t>Hồ sơ cắm mốc giới theo quy hoạch xây dựng đối với Đồ án điều chỉnh quy hoạch chi tiết tỷ lệ 1/2000 Khu tái định cư và nhà ở công nhân phục vụ Khu công nghiệp Phú Thuận</t>
  </si>
  <si>
    <t>Quy hoạch phân khu tỷ lệ 1/2000 khu Nam thị trấn Bình Đại, huyện Bình Đại</t>
  </si>
  <si>
    <t>Quy hoạch phân khu tỷ lệ 1/2000 khu Bắc thị trấn Bình Đại, huyện Bình Đại</t>
  </si>
  <si>
    <t>Điều chỉnh quy hoạch chung thành phố Bến Tre đến năm 2030, định hướng đến năm 2050</t>
  </si>
  <si>
    <t>Tên Dự án</t>
  </si>
  <si>
    <t>Thời gian KC - HT</t>
  </si>
  <si>
    <t>QĐ phê duyệt dự án/ QĐ phê duyệt QTDAHT</t>
  </si>
  <si>
    <t>Giá trị  quyết toán được duyệt</t>
  </si>
  <si>
    <t xml:space="preserve"> Kế hoạch năm 2021-2025</t>
  </si>
  <si>
    <t>TỔNG CỘNG</t>
  </si>
  <si>
    <t>Vốn từ nguồn thu xổ số kiến thiết</t>
  </si>
  <si>
    <t>Cầu Ông Kèo</t>
  </si>
  <si>
    <t>2017 - 2020</t>
  </si>
  <si>
    <t>2840/QĐ-SGTVT ngày 31/10/2016</t>
  </si>
  <si>
    <t>Trường Mẫu giáo Tân Thiềng</t>
  </si>
  <si>
    <t>259/QĐ-SXD ngày 18/10/2016</t>
  </si>
  <si>
    <t>Hệ thống xử lý nước thải làng nghề Bình Thắng (Khắc phục ô nhiễm và cải thiện môi trường làng nghề Bình Thắng)</t>
  </si>
  <si>
    <t>2016 - 2020</t>
  </si>
  <si>
    <t>168/QĐ-UBND ngày 23/01/2017</t>
  </si>
  <si>
    <t>Củng cố nâng cấp và bổ sung khép kín Tuyến đê biển huyện Bình Đại (gđ 1)</t>
  </si>
  <si>
    <t>7212873</t>
  </si>
  <si>
    <t>BQL DA NN&amp;NT</t>
  </si>
  <si>
    <t>2012 - 2019</t>
  </si>
  <si>
    <t>Mua sắm trang thiết bị y tế cho các cơ sở y tế huyện, xã, phường, thị trấn năm 2020</t>
  </si>
  <si>
    <t>7789658</t>
  </si>
  <si>
    <t>Ban QLDA DDCN</t>
  </si>
  <si>
    <t>2019 - 2020</t>
  </si>
  <si>
    <t>Xây dựng Trụ sở mới Văn phòng Chi cục quản lý thị trường tỉnh và Đội cơ động (giai đoạn 1)</t>
  </si>
  <si>
    <t>7818848</t>
  </si>
  <si>
    <t>CCQLTT tỉnh</t>
  </si>
  <si>
    <t>2019 - 2021</t>
  </si>
  <si>
    <t>Trường Mầm non Hòa Nghĩa</t>
  </si>
  <si>
    <t>7770890</t>
  </si>
  <si>
    <t>UBND Chợ Lách</t>
  </si>
  <si>
    <t xml:space="preserve">Đập tạm ngăn mặn trên thượng nguồn sông Ba Lai </t>
  </si>
  <si>
    <t>7876828</t>
  </si>
  <si>
    <t>Ban QLDA NNPTNT</t>
  </si>
  <si>
    <t>Năm 2020</t>
  </si>
  <si>
    <t>Lộ số 4 nối dài (đoạn từ Đường 30/4 đến đường Trần Quốc Tuấn)</t>
  </si>
  <si>
    <t>Cầu Thạnh Trị</t>
  </si>
  <si>
    <t>7824993</t>
  </si>
  <si>
    <t>UBND Bình Đại</t>
  </si>
  <si>
    <t>Cải tạo, nâng cấp Trạm y tế xã Mỹ Thạnh</t>
  </si>
  <si>
    <t>2018-2019</t>
  </si>
  <si>
    <t>Trường THCS Sơn Phú, huyện Giồng Trôm</t>
  </si>
  <si>
    <t>2018-2020</t>
  </si>
  <si>
    <t>Hồ chứa nước ngọt Ba Tri</t>
  </si>
  <si>
    <t>2017-2019</t>
  </si>
  <si>
    <t>Trường THPT Nguyễn Huệ, huyện Châu Thành</t>
  </si>
  <si>
    <t>7027011</t>
  </si>
  <si>
    <t>Ban QLDA ĐTXD các CT DD và CN</t>
  </si>
  <si>
    <t>Số 1059/QĐ-UBND ngày 20/5/2022</t>
  </si>
  <si>
    <t>Đầu tư xây dựng và nâng cấp các cơ sở cai nghiện, điều trị nghiện tỉnh Bến Tre</t>
  </si>
  <si>
    <t>7785399</t>
  </si>
  <si>
    <t>2020-2021</t>
  </si>
  <si>
    <t>Số 1912/QĐ-UBND ngày 29/8/2022</t>
  </si>
  <si>
    <t>Đường ĐX.04 (Lộ Thợ Điếc) xã Tân Trung (đoạn từ ĐX.01 đến giáp ranh xã An Định), huyện Mỏ Cày Nam</t>
  </si>
  <si>
    <t>7687143</t>
  </si>
  <si>
    <t>Trường TH An Phước, huyện Châu Thành</t>
  </si>
  <si>
    <t>7622834</t>
  </si>
  <si>
    <t>2017-2020</t>
  </si>
  <si>
    <t>Xây mới HT văn hoá và các phòng chức năng xã Tường Đa</t>
  </si>
  <si>
    <t>7834436</t>
  </si>
  <si>
    <t>124/QĐ-STC ngày 15/08/2022</t>
  </si>
  <si>
    <t>Nâng cấp, sửa chữa Trụ sở UBND xã An Hoá và HT văn hoá xã, các phỏng chức năng</t>
  </si>
  <si>
    <t>135/QĐ-STC ngày 26/08/2022</t>
  </si>
  <si>
    <t>Đường ĐX.03 (điểm đầu giáp với ĐH.01 điểm cuối giáp QL.57C) xã Tường Đa, h.Châu Thành</t>
  </si>
  <si>
    <t>7819751</t>
  </si>
  <si>
    <t>142/QĐ-STC ngày 16/09/2022</t>
  </si>
  <si>
    <t>Trường THCS Tân Phú, huyện Châu Thành</t>
  </si>
  <si>
    <t xml:space="preserve">Trường Mẫu giáo Hoa Sen, xã Thới Lai, huyện Bình Đại.  </t>
  </si>
  <si>
    <t>7829616</t>
  </si>
  <si>
    <t>154/QĐ-STC ngày 07/10/2022</t>
  </si>
  <si>
    <t xml:space="preserve">Trường Tiểu học Thừa Đức, huyện Bình Đại. </t>
  </si>
  <si>
    <t>7676314</t>
  </si>
  <si>
    <t>2019-2021</t>
  </si>
  <si>
    <t>7778523</t>
  </si>
  <si>
    <t>2020 - 2022</t>
  </si>
  <si>
    <t xml:space="preserve">Nâng cấp, mở rộng và xây dựng mới đường ĐX.03 (đoạn từ QL.57B, ĐX.04 đến đường ĐX.01), xã Thới Lai, huyện Bình Đại.  </t>
  </si>
  <si>
    <t>155/QĐ-STC ngày 07/10/2022</t>
  </si>
  <si>
    <t>Nâng cấp đường vào trung tâm xã Thới Thạnh, huyện Thạnh Phú</t>
  </si>
  <si>
    <t>7685713</t>
  </si>
  <si>
    <t>2816/QĐ-UBND ngày 01/12/2021</t>
  </si>
  <si>
    <t>Mở rộng cầu tàu cảng cá Bình Đại</t>
  </si>
  <si>
    <t>7781258</t>
  </si>
  <si>
    <t>BQLDA ĐTXD NN&amp;PTNT</t>
  </si>
  <si>
    <t>2394/QĐ-UBND 30/10/2019</t>
  </si>
  <si>
    <t>Tôn tạo, trùng tu và mở rộng khu tượng đài chiến thắng Lộ Thơ</t>
  </si>
  <si>
    <t>7495198</t>
  </si>
  <si>
    <t>SVHTTDL</t>
  </si>
  <si>
    <t>2014-2015</t>
  </si>
  <si>
    <t>QĐ 156/QĐ-STC 11/10/2022</t>
  </si>
  <si>
    <t>Tượng đài chiến thắng Giá thẻ huyện Thạnh Phú</t>
  </si>
  <si>
    <t>7595065</t>
  </si>
  <si>
    <t>2017-2017</t>
  </si>
  <si>
    <t>QĐ 107/QĐ-STC 11/7/2022</t>
  </si>
  <si>
    <t>Trung tâm bảo trợ xã hội tỉnh Bến Tre</t>
  </si>
  <si>
    <t>Ban QLDA các CTDD&amp;CN</t>
  </si>
  <si>
    <t>1184/QĐ-UBND 08/6/2022</t>
  </si>
  <si>
    <t>Vốn từ nguồn tăng thu xổ số kiến thiết các năm trước chuyển sang</t>
  </si>
  <si>
    <t>Đầu tư hạ tầng, xây dựng các hệ thống thông tin phục vụ chỉ đạo điều hành của Thường trực Ủy ban nhân dân tỉnh</t>
  </si>
  <si>
    <t>Văn phòng UBND tỉnh</t>
  </si>
  <si>
    <t>Trường Mẫu giáo Long Thới, huyện Chợ Lách</t>
  </si>
  <si>
    <t>Kè giảm sóng bảo vệ bờ biển khu vực Cồn Bửng xã Thạnh Phong, huyện Thạnh Phú</t>
  </si>
  <si>
    <t>QĐ số: 685/QĐ-UBND ngày 04/4/2022</t>
  </si>
  <si>
    <t>Đầu tư xây dựng công trình Kiên cố hóa trường lớp mẫu giáo, tiểu học huyện Ba Tri</t>
  </si>
  <si>
    <t>7644735</t>
  </si>
  <si>
    <t>Ban DDCN</t>
  </si>
  <si>
    <t>2361/QĐ-UBND 29/9/2017</t>
  </si>
  <si>
    <t xml:space="preserve">Trường Tiểu học Phú Thọ (giai đoạn 3.2) </t>
  </si>
  <si>
    <t>UBND TP Bến Tre</t>
  </si>
  <si>
    <t>968/QĐ-UBND 28/4/2020; 2361/QĐ-UBND 12/10/2012</t>
  </si>
  <si>
    <t>Trường Mầm non Phường 8 (Mầm non Rạng Đông) Thành phố Bến Tre</t>
  </si>
  <si>
    <t>2014-2018</t>
  </si>
  <si>
    <t>1339/QĐ-UBND 10/6/2020; 1570/QĐ-UBND 18/7/2011</t>
  </si>
  <si>
    <t>Đường Nguyễn Huệ nối dài (Đoạn từ ngã tư Tú Điền đến cầu Phú Dân</t>
  </si>
  <si>
    <t>2317/QĐ-UBND ngày 30/10/2015</t>
  </si>
  <si>
    <t>Trường TH An Phú Trung</t>
  </si>
  <si>
    <t>7735735</t>
  </si>
  <si>
    <t>Trường TH Vĩnh Hoà</t>
  </si>
  <si>
    <t>7642439</t>
  </si>
  <si>
    <t>Ban QLDADD CN</t>
  </si>
  <si>
    <t>2228/QĐ-UBND ngày 17/10/2018</t>
  </si>
  <si>
    <t>Dự án Đầu tư xây dựng mới 02 dãy phòng học Trường Cao Đẳng Bến Tre</t>
  </si>
  <si>
    <t>7705103</t>
  </si>
  <si>
    <t>2239/QĐ-UBND ngày 29/10/2018</t>
  </si>
  <si>
    <t>Nâng cấp , sửa chữa Trụ sở UBND xã an Hóa xà xây dựng Hội trường văn hóa xã, các phòng chức năng</t>
  </si>
  <si>
    <t>7830326</t>
  </si>
  <si>
    <t>196/QĐ-SXD, 
31/10/2019</t>
  </si>
  <si>
    <t>Xây dựng hội trường văn hóa và các phòng chức năng xã Tường Đa</t>
  </si>
  <si>
    <t>198/QĐ-SXD,
 31/10/2019</t>
  </si>
  <si>
    <t>Trường Tiểu học An Hóa, huyện Châu Thành</t>
  </si>
  <si>
    <t>Hạng mục cầu, cống, cọc tiêu, biển báo trên đường ĐX.04, xã An Hiệp</t>
  </si>
  <si>
    <t>7880324</t>
  </si>
  <si>
    <t>658/QĐ-GTVT, 16/11/2020</t>
  </si>
  <si>
    <t>Hạng mục cống, cọc tiêu, biển báo trên đường ĐX.03, xã Tân Phú</t>
  </si>
  <si>
    <t>7880321</t>
  </si>
  <si>
    <t>656/QĐ-GTVT, 16/11/2020</t>
  </si>
  <si>
    <t>Hạng mục cầu, biển báo trên ĐX.05 (Từ QL.57B đến giáp đường ĐX.04), xã Giao Long; Hạng mục biển báo trên ĐX.06 đường liên xã Phú Đức - Phú Túc (Từ cầu Phú Long đến giáp cầu Miễu Trắng), xã Phú Đức</t>
  </si>
  <si>
    <t>7880381</t>
  </si>
  <si>
    <t>670/QĐ-GTVT, 16/11/2020</t>
  </si>
  <si>
    <t>Hạng mục cầu, cống, cọc tiêu, biển báo trên đường ĐX.02, xã An Khánh</t>
  </si>
  <si>
    <t>7880254</t>
  </si>
  <si>
    <t>655/QĐ-GTVT, 16/11/2020</t>
  </si>
  <si>
    <t>Hạng mục cầu, cống cọc tiêu, biển báo đường ĐX.02 (Đoạn 1 từ giáp thị trấn Châu Thành đến tổ NDTQ số 2 ấp Phước Tự; Đoạn 2 từ cầu lò vôi đến giáp lộ 364) - giai đoạn 2, xã An Khánh</t>
  </si>
  <si>
    <t>7880267</t>
  </si>
  <si>
    <t>671/QĐ-GTVT, 16/11/2020</t>
  </si>
  <si>
    <t>Hạng mục cầu, cống, cọc tiêu, biển báo trên đường ĐX.05, xã Phước Thạnh</t>
  </si>
  <si>
    <t>7880812</t>
  </si>
  <si>
    <t>657/QĐ-GTVT, 16/11/2020</t>
  </si>
  <si>
    <t>Hạng mục cầu, cống, cọc tiêu, biển báo trên đường ĐX.01, xã Sơn Hòa</t>
  </si>
  <si>
    <t>7880279</t>
  </si>
  <si>
    <t xml:space="preserve"> Đường ĐX.04 (điểm đầu giáp ĐHDK 13, điểm cuối giáp ĐX.01), xã An Hóa, huyện Châu Thành</t>
  </si>
  <si>
    <t>7819959</t>
  </si>
  <si>
    <t xml:space="preserve">Trường THCS Thành Phố </t>
  </si>
  <si>
    <t>Trường MN Trúc Giang</t>
  </si>
  <si>
    <t>7757009</t>
  </si>
  <si>
    <t>2018 - 2020</t>
  </si>
  <si>
    <t>Trường MN Đồng Khởi</t>
  </si>
  <si>
    <t>Cải tạo khối hành chính và các hạng mục phụ thuộc dự án Trường TH Phú Thọ</t>
  </si>
  <si>
    <t>7886865</t>
  </si>
  <si>
    <t>7781791</t>
  </si>
  <si>
    <t>259/QĐ-SXD 28/10/201631/10/2018</t>
  </si>
  <si>
    <t>Trường Tiểu học Mỹ An, huyện Thạnh Phú</t>
  </si>
  <si>
    <t>UBND Thạnh Phú</t>
  </si>
  <si>
    <t>Trường Mẫu giáo Thạnh Phong điểm ấp Thạnh Hoà</t>
  </si>
  <si>
    <t>UBND  Thạnh Phú</t>
  </si>
  <si>
    <t>2021</t>
  </si>
  <si>
    <t>442/QĐ - SXD ngày 13/11/2020</t>
  </si>
  <si>
    <t>UBND Giồng Trôm</t>
  </si>
  <si>
    <t>414/QĐ-UBND ngày 08/3/2019</t>
  </si>
  <si>
    <t>Nâng cấp, mở rộng đường ĐX.02 (Phú Hòa - Minh Đức), xã Phú Khánh, huyện Thạnh Phú</t>
  </si>
  <si>
    <t>7796468</t>
  </si>
  <si>
    <t>404/QĐ-SGTVT ngày 15/10/2019</t>
  </si>
  <si>
    <t>Dự án hoàn thành đã quyết toán nhưng chưa tất toán</t>
  </si>
  <si>
    <t>Điều chỉnh tăng</t>
  </si>
  <si>
    <t>Điều chỉnh giảm</t>
  </si>
  <si>
    <t>1750/QĐ-UBND ngày 23/7/2021; 3151/QĐ-UBND ngày 31/12/2021</t>
  </si>
  <si>
    <t>1063/QĐ-UBND ngày 08/5/2020; 1813a/QĐ-UBND ngày 29/7/2021; 3151/QĐ-UBND ngày 31/12/2021</t>
  </si>
  <si>
    <t>1654/QĐ-UBND ngày 15/7/2020; 1813a/QĐ-UBND ngày 29/7/2021; 3151/QĐ-UBND ngày 31/12/2021</t>
  </si>
  <si>
    <t>329/QĐ-UBND ngày 28/12/2022</t>
  </si>
  <si>
    <t>Mở rộng bãi rác An Hiệp huyện Ba Tri</t>
  </si>
  <si>
    <t>Nâng cấp, mở rộng Công viên Trần Văn Ơn</t>
  </si>
  <si>
    <t>Xây dựng Trung tâm dữ liệu của tỉnh; kho dữ liệu dùng chung của tỉnh Bến Tre phục vụ phát triển chính quyền số và Hệ sinh thái dữ liệu mở</t>
  </si>
  <si>
    <t>Triển khai các ứng dụng nhằm nâng cao sự tương tác giữa chính quyền và người dân</t>
  </si>
  <si>
    <t>537/QĐ-UB ngày 20/3/2023</t>
  </si>
  <si>
    <t>Ứng dụng công nghệ thông tin trong các hoạt động của các cơ quan Đảng tỉnh Bến Tre, giai đoạn 2021-2025</t>
  </si>
  <si>
    <t>Số hóa kết quả giải quyết thủ tục hành chính còn hiệu lực</t>
  </si>
  <si>
    <t>Mở rộng, nâng cấp hệ thống cơ sở dữ liệu điện tử của Ủy ban nhân dân tỉnh</t>
  </si>
  <si>
    <t>673/QĐ-UB ngày 30/4/2023</t>
  </si>
  <si>
    <t>643/QĐ-UB ngày 30/3/2023</t>
  </si>
  <si>
    <t>Xây dựng đô thị thông minh thành phố Bến Tre giai đoạn 2022 - 2025, định hướng đến năm 2030</t>
  </si>
  <si>
    <t>Nâng cấp sàn thương mại điện tử Bến Tre (bentretrade.vn)</t>
  </si>
  <si>
    <t>471/QĐ-UB ngày 13/3/2023</t>
  </si>
  <si>
    <t>Ứng dụng công nghệ thông tin phục vụ, điều hành giao thông vận tải giai đoạn 2021-2025</t>
  </si>
  <si>
    <t>2357/QĐ-UB ngày 14/10/2022</t>
  </si>
  <si>
    <t>Đầu tư, nâng cấp thiết bị phục vụ công tác chuyển đổi số ngành Công an</t>
  </si>
  <si>
    <t>Lưu trữ số và phát sóng HD</t>
  </si>
  <si>
    <t>488/QĐ-UB ngày 14/3/2023</t>
  </si>
  <si>
    <t>5837/KH-UBND ngày 27/9/2021; CV 2483/UBND-TCĐT ngày 27/4/2022</t>
  </si>
  <si>
    <t>4.10</t>
  </si>
  <si>
    <t>Hoàn trả theo Kế hoạch hàng năm</t>
  </si>
  <si>
    <t>Xây dựng 18 trụ sở công an xã trên địa bàn tỉnh Bến Tre</t>
  </si>
  <si>
    <t>789/QĐ-UBND ngày 17/4/2023</t>
  </si>
  <si>
    <t>Cải tạo sửa chữa Trụ sở làm việc Tỉnh ủy</t>
  </si>
  <si>
    <t xml:space="preserve">Đền bù giải phóng mặt bằng để đầu tư xây dựng công trình Ban CHQS huyện Giồng Trôm/ Bộ CHQS tỉnh Bến Tre/Quân khu 9 (Tiểu dự án bồi thường, hỗ trợ, tái định cư) </t>
  </si>
  <si>
    <t>1996/QĐ-TTg ngày 26/11/2021; 2810/QĐ-UBND ngày 29/11/2021</t>
  </si>
  <si>
    <t>7796135</t>
  </si>
  <si>
    <t>580/QĐ-UBND 23/03/2023</t>
  </si>
  <si>
    <t>Mua sắm thiết bị dạy học dùng chung cho các trường Tiểu học trên địa bàn tỉnh</t>
  </si>
  <si>
    <t>7806865</t>
  </si>
  <si>
    <t>Ban QLDA ĐTXD các công trình dân dụng và công nghiệp</t>
  </si>
  <si>
    <t>2420/QĐ-UBND ngày 31/10/2019</t>
  </si>
  <si>
    <t>HM cầu, cống, cọc tiêu, biển báo trên đường ĐX.02, xã An Khánh. H.Cthanh</t>
  </si>
  <si>
    <t>UBND h.Châu Thành</t>
  </si>
  <si>
    <t>14/05/2021-31/12/2021</t>
  </si>
  <si>
    <t>187/QĐ-STC ngày 09/12/2022</t>
  </si>
  <si>
    <t>HM cầu, cống, cọc tiêu, biển báo trên đường ĐX.02, xã An Hóa. H.Cthanh</t>
  </si>
  <si>
    <t>13/04/2021 - 17/07/2021</t>
  </si>
  <si>
    <t>05/QĐ-STC ngày 12/01/2023</t>
  </si>
  <si>
    <t>Đường ĐX.03 (điểm đầu giáp ĐX.01 điểm cuối giáp ĐHDK.13) xã An Hóa, huyện Châu Thành</t>
  </si>
  <si>
    <t>25/5/2020 - 09/8/2021</t>
  </si>
  <si>
    <t>04/QĐ-STC ngày 11/01/2023</t>
  </si>
  <si>
    <t>HM Cầu, cống. Cọc tiêu, biển báo trên đường ĐX.01 xã Sơn Hòa, huyện Châu Thành</t>
  </si>
  <si>
    <t>14/05/2021-30/06/2021</t>
  </si>
  <si>
    <t>28/QĐ-STC ngày 28/02/2023</t>
  </si>
  <si>
    <t>HM Cầu, cống. Cọc tiêu, biển báo trên đường ĐX.01 xã Tiên Long, huyện Châu Thành</t>
  </si>
  <si>
    <t>29/QĐ-STC ngày 28/02/2024</t>
  </si>
  <si>
    <t>09/04/2021 – 19/07/2021.</t>
  </si>
  <si>
    <t>32/QĐ-STC ngày 06/03/2023</t>
  </si>
  <si>
    <t>HM Cầu, cống. Cọc tiêu, biển báo trên đường ĐX.02 xã Phú An Hòa, huyện Châu Thành</t>
  </si>
  <si>
    <t>10/06/2021-15/04/2022</t>
  </si>
  <si>
    <t>38/QĐ-STC ngày 21/03/2023</t>
  </si>
  <si>
    <t>17/09/2021-31/12/2021</t>
  </si>
  <si>
    <t>48/QĐ-STC ngày 18/04/2023</t>
  </si>
  <si>
    <t>Trường Tiểu học Hương Mỹ 2, huyện Mỏ Cày Nam.</t>
  </si>
  <si>
    <t>7630717</t>
  </si>
  <si>
    <t>24/05/2019 31/12/2020</t>
  </si>
  <si>
    <t>2617/QD-UBND 31/10/2017</t>
  </si>
  <si>
    <t>Nâng cấp mặt đường ĐX.02 (đoạn từ ĐX.01 đến ranh xã Minh Đức), xã Tân Trung, huyện Mỏ Cày Nam</t>
  </si>
  <si>
    <t>7687141</t>
  </si>
  <si>
    <t>06/7/2018 29/5/2019</t>
  </si>
  <si>
    <t>2639/QĐ-SGTVT 31/10/2017</t>
  </si>
  <si>
    <t>Đường ĐX.10 (đường tránh trung tâm xã: đoạn từ Cống Môn - ngã 3 nạn thung) xã An Thới, huyện Mỏ Cày Nam</t>
  </si>
  <si>
    <t>27/11/2017 15/10/2020</t>
  </si>
  <si>
    <t>Nâng cấp mặt đường ĐX.01 (đường vào trung tâm xã), đoạn từ QL.57 đến giáp đường ĐX.02, xã Tân Trung</t>
  </si>
  <si>
    <t>7687140</t>
  </si>
  <si>
    <t>27/11/2017 26/11/2019</t>
  </si>
  <si>
    <t>Nâng cấp mở rộng đường ĐX.04 (đường liên xã An Thới - An Thạnh, đoạn từ Ngã 3 nạn thun - An Thạnh) xã An Thới, huyện Mỏ Cày Nam</t>
  </si>
  <si>
    <t>7642972</t>
  </si>
  <si>
    <t>06/7/2018  01/3/2019</t>
  </si>
  <si>
    <t xml:space="preserve">Nhà ở sỹ quan, quân nhân chuyên nghiệp, công nhân viên quốc phòng tại ngũ, BCH </t>
  </si>
  <si>
    <t>7004686</t>
  </si>
  <si>
    <t>BCH Quân sự</t>
  </si>
  <si>
    <t>2012-2013</t>
  </si>
  <si>
    <t>Nâng cấp, sửa chữa Bệnh viện đa khoa khu vực Cù Lao Minh</t>
  </si>
  <si>
    <t>7744727</t>
  </si>
  <si>
    <t>Bổ sung vốn để thanh toán khối lượng hoàn thành</t>
  </si>
  <si>
    <t>Tên dự án/công trình</t>
  </si>
  <si>
    <t xml:space="preserve"> Chủ đầu tư</t>
  </si>
  <si>
    <t>Địa điểm</t>
  </si>
  <si>
    <t>Năng lực
 thiết kế</t>
  </si>
  <si>
    <t>Thời gian thực hiện</t>
  </si>
  <si>
    <t>Số Quyết định</t>
  </si>
  <si>
    <t>Tổng tất cả các nguồn vốn</t>
  </si>
  <si>
    <t>Huyện Chợ Lách</t>
  </si>
  <si>
    <t>Đường từ Hai Mạng đến Năm Tôm (ĐA.05), xã Phú Phụng</t>
  </si>
  <si>
    <t>UBND xã 
Phú Phụng</t>
  </si>
  <si>
    <t>xã Phú Phụng</t>
  </si>
  <si>
    <t xml:space="preserve"> cấp B</t>
  </si>
  <si>
    <t>Đường từ Bảy Ô đến Hai Mạng (ĐC.11), xã Phú Phụng</t>
  </si>
  <si>
    <t>cấp C</t>
  </si>
  <si>
    <t>Đường từ Bảy Gốc đến Tư Cù Lự (ĐC.17), xã Phú Phụng</t>
  </si>
  <si>
    <t>Đường từ Dự án 18 đến Đồng Lớn (ĐA.13), xã Tân Thiềng</t>
  </si>
  <si>
    <t>UBND xã 
Tân Thiềng</t>
  </si>
  <si>
    <t>xã Tân Thiềng</t>
  </si>
  <si>
    <t>cấp B</t>
  </si>
  <si>
    <t>Đường từ Dự án 18 đến Bến Đáy (ĐA.08), xã Tân Thiềng</t>
  </si>
  <si>
    <t>Đường từ Bảy Chí đến Bảy Bụng (ĐC.04), xã Tân Thiềng</t>
  </si>
  <si>
    <t>Trường Tiểu học Hòa Nghĩa A, xã Hòa Nghĩa</t>
  </si>
  <si>
    <t>xã Hòa Nghĩa</t>
  </si>
  <si>
    <t>01 phòng học và hạng mục phụ</t>
  </si>
  <si>
    <t>2024-2026</t>
  </si>
  <si>
    <t>Huyện Mỏ Cày Bắc</t>
  </si>
  <si>
    <t>Đường ĐA.01 (Đường ấp Hòa Thuận II), xã Hoà Lộc</t>
  </si>
  <si>
    <t>7811832</t>
  </si>
  <si>
    <t>UBND xã Hoà Lộc</t>
  </si>
  <si>
    <t>xã Hòa Lộc</t>
  </si>
  <si>
    <t>Cấp B</t>
  </si>
  <si>
    <t>Đường ĐA.02 (Đường Tập đoàn), xã Hoà Lộc</t>
  </si>
  <si>
    <t>7811834</t>
  </si>
  <si>
    <t>Đường ĐA.01 (Liên ấp Tân Hưng -Tân Lợi), xã Khánh Thạnh Tân</t>
  </si>
  <si>
    <t>7805815</t>
  </si>
  <si>
    <t>UBND xã Khánh Thạnh Tân</t>
  </si>
  <si>
    <t>xã Khánh Thạnh Tân</t>
  </si>
  <si>
    <t>Cấp C</t>
  </si>
  <si>
    <t>Đường ĐA.04 (đoạn từ Cống Cầu Vong đến cầu Kênh Lộ Thầy Phó), Hưng Khánh Trung A</t>
  </si>
  <si>
    <t>7814455</t>
  </si>
  <si>
    <t>UBND xã Hưng Khánh Trung A</t>
  </si>
  <si>
    <t>Đường B3 (Đoạn từ Nguyễn Văn Hai đến Ba Thành), ấp Giồng Đắc, xã Nhuận Phú Tân</t>
  </si>
  <si>
    <t>7832044</t>
  </si>
  <si>
    <t>UBND xã Nhuận Phú Tân</t>
  </si>
  <si>
    <t>Nâng cấp sửa chữa trụ sở UBND xã; sửa chữa Hội trường văn hóa xã thành Nhà văn hóa đa năng và xây dựng mới 05 phòng chức năng, xã Tân Bình</t>
  </si>
  <si>
    <t>7826801</t>
  </si>
  <si>
    <t>Sửa chữa trụ sở UBND xã; Nâng cấp, sửa chữa Hội trường văn hóa xã thành Nhà văn hóa đa năng và xây dựng mới 05 phòng chức năng, xã Hưng Khánh
 Trung A</t>
  </si>
  <si>
    <t>7826800</t>
  </si>
  <si>
    <t>Nâng cấp, mở rộng Đường ĐX.03 (đoạn từ QL.57 đến giáp xã Hòa Lộc), xã Tân Bình</t>
  </si>
  <si>
    <t>7811882</t>
  </si>
  <si>
    <t>cấp A</t>
  </si>
  <si>
    <t>Đường ĐX.05 (đoạn từ Huyện lộ 19 đến Cầu số 12), xã Tân Bình</t>
  </si>
  <si>
    <t>7811870</t>
  </si>
  <si>
    <t>Đường ĐA.05 (đoạn từ đường ĐX.01 đến cầu cống huyện lộ 19), xã Tân Bình</t>
  </si>
  <si>
    <t>7811869</t>
  </si>
  <si>
    <t>Nâng cấp, mở rộng Đường ĐX.05 (đoạn từ QL.57 đến HL.41), Hưng Khánh 
Trung A</t>
  </si>
  <si>
    <t>7811868</t>
  </si>
  <si>
    <t>Đường ĐX.06 (đoạn từ ĐH.39 đến giáp xã Tân Thanh Tây), Hưng Khánh Trung A</t>
  </si>
  <si>
    <t>7811872</t>
  </si>
  <si>
    <t>Hạng mục cầu, biển báo, cọc tiêu trên đường  ĐX.04 (đoạn từ ĐH.41 đến giáp lộ bờ Dừa), xã Hưng Khánh Trung A</t>
  </si>
  <si>
    <t>7873067</t>
  </si>
  <si>
    <t>Xã Hưng Khánh Trung A</t>
  </si>
  <si>
    <t>Hạng mục cầu, biển báo, cọc tiêu trên đường  ĐX.02 (đoạn từ ĐH.19 đến ĐH.18; đoạn từ Trụ sở ấp Giồng giữa đến ĐH.19), xã Nhuận Phú Tân</t>
  </si>
  <si>
    <t>7868919</t>
  </si>
  <si>
    <t>Xã Nhuận Phú Tân</t>
  </si>
  <si>
    <t>Hạng mục cầu, cống, biển báo trên Đường ĐX.03 (Đoạn từ ĐH.21 đến nhà ông Trương Văn Của), xã Nhuận Phú Tân</t>
  </si>
  <si>
    <t>7868968</t>
  </si>
  <si>
    <t>Hạng mục cống,  biển báo, cọc tiêu trên đường  ĐX.02 (Đoạn từ Trường Tiểu học Thanh Tân 1 đến nhà ông Lê Minh Hoàng), xã Thanh Tân</t>
  </si>
  <si>
    <t>7868933</t>
  </si>
  <si>
    <t>Xã Thanh Tân</t>
  </si>
  <si>
    <t>Hạng mục cầu, biển báo, cọc tiêu trên đường ĐX.04 (đoạn từ nhà ông Ba Phát đến cổng chào ấp Đông An), xã Hòa Lộc</t>
  </si>
  <si>
    <t>7868898</t>
  </si>
  <si>
    <t>Xã Hòa Lộc</t>
  </si>
  <si>
    <t>Hạng mục cống, biển báo, cọc tiêu trên đường  ĐX.06 (Cầu Chùa Gia Hưng - cổng Đình Tân Ngãi đi Tân Phú Tây), xã Thạnh Ngãi</t>
  </si>
  <si>
    <t>7868945</t>
  </si>
  <si>
    <t>Xã Thạnh Ngãi</t>
  </si>
  <si>
    <t>Hạng mục cầu, cống trên ĐX.05, xã Khánh Thạnh Tân</t>
  </si>
  <si>
    <t>7868885</t>
  </si>
  <si>
    <t>Xã Khánh Thạnh Tân</t>
  </si>
  <si>
    <t>Hạng mục cầu, cống, cọc tiêu, biển báo trên đường ĐX.04 (Đoạn từ QL.57 - xã Tân Hội), xã Tân Bình</t>
  </si>
  <si>
    <t>7868884</t>
  </si>
  <si>
    <t>Xã Tân Bình</t>
  </si>
  <si>
    <t xml:space="preserve">Hạng mục cống, cọc tiêu, biển báo trên đường (ĐX.06) đoạn từ ngã tư UBND xã đến ngã ba Giác Minh, xã Phú Mỹ </t>
  </si>
  <si>
    <t>7868900</t>
  </si>
  <si>
    <t>Xã Phú Mỹ</t>
  </si>
  <si>
    <t>Hạng mục cầu, cống, cọc tiêu và biển báo trên đường liên xã Phước Mỹ trung - Tân Phú Tây (ĐX.04) từ ĐH.HK.38 đến giáp xã Tân Phú Tây</t>
  </si>
  <si>
    <t>7868882</t>
  </si>
  <si>
    <t>Xã Phước Mỹ Trung</t>
  </si>
  <si>
    <t>Xây dựng trụ sở UBND xã, hội trường văn hóa đa năng xã Hòa Lộc</t>
  </si>
  <si>
    <t>2022-2024</t>
  </si>
  <si>
    <t>Sửa chữa trụ sở UBND xã Thanh Tân và xây mới hội trường đa năng xã</t>
  </si>
  <si>
    <t xml:space="preserve"> xã Thanh Tân</t>
  </si>
  <si>
    <t>Nâng cấp, cải tạo Trụ sở Ủy ban nhân dân xã Thạnh Ngãi, huyện Mỏ Cày Bắc</t>
  </si>
  <si>
    <t>UBND huyện MCB</t>
  </si>
  <si>
    <t>xã Thạnh
 Ngãi</t>
  </si>
  <si>
    <t>Nâng cấp, cải tạo Trụ sở UBND xã Thạnh Ngãi</t>
  </si>
  <si>
    <t>Trụ sở Ủy ban nhân dân xã và Hội trường đa năng xã Phước Mỹ Trung, huyện Mỏ Cày Bắc</t>
  </si>
  <si>
    <t>xã Phước Mỹ Trung</t>
  </si>
  <si>
    <t>Trụ sở UBND xã và Hội trường đa năng xã</t>
  </si>
  <si>
    <t>xã Hoà Lộc</t>
  </si>
  <si>
    <t>21PCN, 
cải tạo dãy 10 PH, cải tạo 04 PH thành 02 PCN, HMP, thiết bị</t>
  </si>
  <si>
    <t>10 PH, 2 PCN, HMP, thiết bị,
 thu hồi 
khoảng 2000m2</t>
  </si>
  <si>
    <t>Trường TH Thạnh Ngãi 1</t>
  </si>
  <si>
    <t xml:space="preserve">xã Thạnh Ngãi </t>
  </si>
  <si>
    <t>xây dựng mới 6 PCN, sửa chữa các PH và PCN hiện hữu, HMP, thiết bị</t>
  </si>
  <si>
    <t>2025-2027</t>
  </si>
  <si>
    <t xml:space="preserve"> Trường TH Khánh Thạnh Tân 2</t>
  </si>
  <si>
    <t>xây dựng mới 10PCN, sửa chữa các PH và PCN hiện hữu, HMP, thiết bị</t>
  </si>
  <si>
    <t>Trung tâm hành chính xã Phú Mỹ</t>
  </si>
  <si>
    <t>xã Phú Mỹ</t>
  </si>
  <si>
    <t>Sửa chữa Trụ sở UBND xã; xây dựng HT văn hóa và các phòng chức năng; cải tạo HT cũ thành nhà CA xã Phú Mỹ</t>
  </si>
  <si>
    <t>Nâng cấp, mở rộng Đường ĐX.02 (đoạn từ ĐH.DK.38 - giáp xã Thạnh Ngãi và nhánh rẽ đến ngã 3 Đìa Dứa), xã Phú Mỹ</t>
  </si>
  <si>
    <t>Cấp A</t>
  </si>
  <si>
    <t>Trung tâm hành chính xã Khánh Thạnh Tân</t>
  </si>
  <si>
    <t>Đường ĐX.01 (đoạn từ đường ĐH.21 - ĐH.18, xã Nhuận Phú Tân</t>
  </si>
  <si>
    <t>Trường Trung học Phổ thông Ngô Văn Cấn</t>
  </si>
  <si>
    <t xml:space="preserve"> huyện Mỏ Cày Bắc</t>
  </si>
  <si>
    <t>Huyện Mỏ Cày Nam</t>
  </si>
  <si>
    <t>Nâng cấp, sửa chữa trụ sở UBND xã; Nâng cấp, mở rộng Hội trường văn hóa xã thành Nhà văn hóa đa năng và xây dựng mới 05 phòng chức năng xã Minh Đức</t>
  </si>
  <si>
    <t>Nâng cấp, sửa chữa trụ sở UBND xã; Nâng cấp, sửa chữa Hội trường văn hóa xã thành Nhà văn hóa đa năng và xây dựng mới 05 phòng chức năng, xã Phước Hiệp</t>
  </si>
  <si>
    <t>Nâng cấp, mở rộng đường ĐX.01 (đoạn từ ranh xã Hương Mỹ đến đất ông Nguyễn Văn Ân (sông Hàm Luông) và 01 nhánh rẽ nối xã Phú Khánh và 01 nhánh rẽ nối chùa Tuyên Linh), xã Minh Đức</t>
  </si>
  <si>
    <t>7793073</t>
  </si>
  <si>
    <t>Nâng cấp, mở rộng đường ĐX.02 (đoạn từ Quốc lộ 57 đến Đường ĐX.03), xã Minh Đức</t>
  </si>
  <si>
    <t>7793074</t>
  </si>
  <si>
    <t xml:space="preserve"> cấp A</t>
  </si>
  <si>
    <t>Nâng cấp, mở rộng đường ĐX.03 (đoạn từ Cầu Vĩ đến giáp Đường ĐX.01), xã Minh Đức</t>
  </si>
  <si>
    <t>7793075</t>
  </si>
  <si>
    <t>Nâng cấp, mở rộng Đường ĐA.01 (đoạn từ Cầu Vĩ đến Quốc lộ 57), xã Minh Đức</t>
  </si>
  <si>
    <t>7793077</t>
  </si>
  <si>
    <t>Đường ĐA.02 (đoạn từ ĐX.01 đến giáp ranh xã Phú Khánh), xã Minh Đức</t>
  </si>
  <si>
    <t>7793080</t>
  </si>
  <si>
    <t>Nâng cấp, mở rộng Đường ĐA.03 (đoạn từ Đường ĐX.03 đến đê sông Hàm Luông), xã Minh Đức</t>
  </si>
  <si>
    <t>7793079</t>
  </si>
  <si>
    <t>Nâng cấp, mở rộng Đường ĐA.04 (đoạn từ đê bao sông Hàm Luông đến cầu Dương Văn Đỏ), xã Minh Đức</t>
  </si>
  <si>
    <t>7793078</t>
  </si>
  <si>
    <t>Nâng cấp, mở rộng Đường ĐA.09 (đoạn từ ranh xã Hương Mỹ đến giáp ĐX.03), xã Minh Đức</t>
  </si>
  <si>
    <t>7793076</t>
  </si>
  <si>
    <t>Đường ĐX.02 (đoạn từ cầu Chợ xã đến cầu Phước Đa), xã Phước Hiệp</t>
  </si>
  <si>
    <t>7793030</t>
  </si>
  <si>
    <t xml:space="preserve"> Cấp A</t>
  </si>
  <si>
    <t>Đường ĐX.03 (đoạn từ ĐX.02 đến cầu Bình Phước), xã Phước Hiệp</t>
  </si>
  <si>
    <t xml:space="preserve"> Cấp B</t>
  </si>
  <si>
    <t>Đường ĐX.04 (đoạn từ ĐX.02 đến giáp thị trấn Mỏ Cày), xã Phước Hiệp</t>
  </si>
  <si>
    <t>7793034</t>
  </si>
  <si>
    <t>Đường ĐX.05 (đoạn từ HL.22 đến ranh xã Bình Khánh Đông), xã Phước Hiệp</t>
  </si>
  <si>
    <t>7793029</t>
  </si>
  <si>
    <t>Đường ĐX.06 (giai đoạn 1 đoạn từ ĐH.22 đến đường ĐA.01), xã Phước Hiệp, huyện Mỏ Cày Nam</t>
  </si>
  <si>
    <t>7793028</t>
  </si>
  <si>
    <t>Đường ĐA.02 (đoạn từ ĐX.01 đến giáp xã Định Thủy), xã Phước Hiệp</t>
  </si>
  <si>
    <t>7793031</t>
  </si>
  <si>
    <t>Đường ĐA.04 (đoạn từ HL.22 đến giáp xã Định Thủy), xã Phước Hiệp</t>
  </si>
  <si>
    <t>7793033</t>
  </si>
  <si>
    <t>Đường ĐA.10 (đoạn từ Đường ĐX.03 đến Đường ĐC.08), xã Phước Hiệp</t>
  </si>
  <si>
    <t>7793032</t>
  </si>
  <si>
    <t>Đường ĐX 02 (Từ Quốc lộ 60 đến ranh xã Thành Thới A), xã Thành Thới B</t>
  </si>
  <si>
    <t>UBND xã Thành Thới B</t>
  </si>
  <si>
    <t>Xã Thành Thới B</t>
  </si>
  <si>
    <t>Hạng mục cầu Bình Phú, xã Cẩm Sơn</t>
  </si>
  <si>
    <t>7870797</t>
  </si>
  <si>
    <t>Xã Cẩm Sơn</t>
  </si>
  <si>
    <t>Xây dựng cầu Ông Tùng trên đường ĐX.01, xã Bình Khánh</t>
  </si>
  <si>
    <t>7870796</t>
  </si>
  <si>
    <t>Đường ĐX.02 (liên xã Bình Khánh - An Định, đoạn từ đường ĐX.01 xã Bình Khánh đến Chợ Cái Quao xã An Định)</t>
  </si>
  <si>
    <t>7870794</t>
  </si>
  <si>
    <t>Đường ĐX.06 (đoạn từ ĐH.22 đến nhà chú Sáu Thao), xã Bình Khánh</t>
  </si>
  <si>
    <t>7870793</t>
  </si>
  <si>
    <t>Đường ĐX.07 (đoạn từ Đường ĐX.06 đến Đường Đê), xã Bình Khánh</t>
  </si>
  <si>
    <t>7870792</t>
  </si>
  <si>
    <t>Đường ĐX.08 (đoạn từ Đường ĐX.01 đến cầu Chùa), xã Bình Khánh</t>
  </si>
  <si>
    <t>7870791</t>
  </si>
  <si>
    <t>Đường ĐA.02 (đoạn từ nhà Ông Huỳnh đến Đường ĐX.01), xã Bình Khánh</t>
  </si>
  <si>
    <t>7870795</t>
  </si>
  <si>
    <t>Xây mới Hội trường đa năng xã Bình Khánh</t>
  </si>
  <si>
    <t>7854921</t>
  </si>
  <si>
    <t>Xây mới Trụ sở UBND xã Bình Khánh</t>
  </si>
  <si>
    <t>7854920</t>
  </si>
  <si>
    <t>Xây mới Trụ sở Ủy ban nhân dân xã Hương Mỹ</t>
  </si>
  <si>
    <t xml:space="preserve">xã Hương Mỹ </t>
  </si>
  <si>
    <t>Cải tạo, sửa chữa trụ sở Ủy ban nhân dân xã Ngãi Đăng</t>
  </si>
  <si>
    <t xml:space="preserve"> xã Ngãi Đăng</t>
  </si>
  <si>
    <t>Khu hành chinh xã An Định</t>
  </si>
  <si>
    <t>xã An Định</t>
  </si>
  <si>
    <t>Xây dựng cầu Cây Dương trên đường ĐX.02, xã Cẩm Sơn</t>
  </si>
  <si>
    <t>Xây dựng Đường ĐA.02 (đoạn từ Kênh ấp Phú Hữu đến Đường ĐA.04), xã Cẩm Sơn</t>
  </si>
  <si>
    <t>UBND xã Cẩm Sơn</t>
  </si>
  <si>
    <t>Xây dựng Đường ĐA.07 (đoạn từ ĐA.09 đến giáp ranh xã Hương Mỹ), xã Cẩm Sơn</t>
  </si>
  <si>
    <t>Xây dựng Đường ĐA.10 (đoạn từ QL.57 đến ĐX.01), xã Cẩm Sơn</t>
  </si>
  <si>
    <t>Trung tâm hành chính xã Tân Hội</t>
  </si>
  <si>
    <t>Xã Tân Hội</t>
  </si>
  <si>
    <t xml:space="preserve">Sơn sửa trụ sở UBND xã; cải tạo nâng cấp Nhà văn hóa xã </t>
  </si>
  <si>
    <t>Trung tâm hành chính xã Thành Thới B</t>
  </si>
  <si>
    <t xml:space="preserve">Cải tạo, sửa chữa trụ sở UBND xã </t>
  </si>
  <si>
    <t>Trung tâm hành chính xã Thành Thới A</t>
  </si>
  <si>
    <t>Xã Thành Thới A</t>
  </si>
  <si>
    <t>Xây mới Trụ sở UBND xã</t>
  </si>
  <si>
    <t>Trung tâm hành chính xã Đa Phước Hội</t>
  </si>
  <si>
    <t>xã Đa Phước Hội</t>
  </si>
  <si>
    <t>Trường Mẫu giáo Thành Thới B</t>
  </si>
  <si>
    <t>xã Thành Thới B</t>
  </si>
  <si>
    <t>Trường  TH Thành Thới B</t>
  </si>
  <si>
    <t>Xây dựng 17 PH, 08 PCN; cải tạo 04 PHc và 06 PCN thành 12 PCN; HMP và  thiết bị</t>
  </si>
  <si>
    <t>Trường MG Thành Thới A</t>
  </si>
  <si>
    <t xml:space="preserve"> xã Thành Thới A</t>
  </si>
  <si>
    <t>Trường MG Đa Phước Hội</t>
  </si>
  <si>
    <t xml:space="preserve"> xã Đa Phước Hội</t>
  </si>
  <si>
    <t>Trường  TH Đa Phước Hội</t>
  </si>
  <si>
    <t>Xây dựng 01PH, 16 PCN;  sửa 11 PH, 03PCN; HMP và thiết bị</t>
  </si>
  <si>
    <t>Huyện Thạnh Phú</t>
  </si>
  <si>
    <t>Nâng cấp, mở rộng đường ĐX.01 (Lộ Chùa - Bình Khánh - Phú Long Phụng - Minh Đức), xã Phú Khánh</t>
  </si>
  <si>
    <t>7796470</t>
  </si>
  <si>
    <t>Trụ sở Ủy ban nhân dân xã Giao Thạnh</t>
  </si>
  <si>
    <t>7796181</t>
  </si>
  <si>
    <t>Trụ sở UBND xã Phú Khánh</t>
  </si>
  <si>
    <t>7796182</t>
  </si>
  <si>
    <t>Nâng cấp, mở rộng đường ĐX.02 (Phú Hòa - Minh Đức), xã Phú Khánh</t>
  </si>
  <si>
    <t>Đường ĐA.04 Đường lộ Cầu Tàu bờ tây (đoạn Cầu Phú Hòa đến giáp xã Đại Điền), xã Phú Khánh</t>
  </si>
  <si>
    <t>7796469</t>
  </si>
  <si>
    <t>Đường ĐA.03, xã An Thạnh</t>
  </si>
  <si>
    <t>7813514</t>
  </si>
  <si>
    <t>UBND xã An Thạnh</t>
  </si>
  <si>
    <t>Đường ĐA.09 (liên ấp Quí An Hoà - Quí Bình), xã Hoà Lợi</t>
  </si>
  <si>
    <t>7832420</t>
  </si>
  <si>
    <t>UBND xã Hoà Lợi</t>
  </si>
  <si>
    <t>xã Hoà Lợi</t>
  </si>
  <si>
    <t>Đường A2 (Đoạn 2, từ chân cầu Bùng Binh đến nhà ông Trần Văn Nhân), xã Thạnh Hải</t>
  </si>
  <si>
    <t>7839804</t>
  </si>
  <si>
    <t>UBND xã Thạnh Hải</t>
  </si>
  <si>
    <t>xã Thạnh Hải</t>
  </si>
  <si>
    <t>Đường ĐA.08, xã Mỹ An</t>
  </si>
  <si>
    <t>7831885</t>
  </si>
  <si>
    <t>UBND xã Mỹ An</t>
  </si>
  <si>
    <t>xã Mỹ An</t>
  </si>
  <si>
    <t>Hạng mục cầu, cống trên đường ĐX.04, xã Tân Phong</t>
  </si>
  <si>
    <t>7870623</t>
  </si>
  <si>
    <t>Xã Tân Phong</t>
  </si>
  <si>
    <t>Xây dựng trụ sở Ủy ban nhân dân xã Tân Phong, huyện Thạnh Phú</t>
  </si>
  <si>
    <t>xã Tân Phong</t>
  </si>
  <si>
    <t>Xây dựng Trụ sở UBND xã Thạnh
 Phong, huyện Thạnh Phú</t>
  </si>
  <si>
    <t>Đường ĐA.01 (ấp Xương Thạnh B), xã Thới Thạnh</t>
  </si>
  <si>
    <t>xã Thới Thạnh</t>
  </si>
  <si>
    <t xml:space="preserve"> cấp C</t>
  </si>
  <si>
    <t>Đường ĐC.09 (ấp Xương Thới I) giai đoạn 2, xã Thới Thạnh</t>
  </si>
  <si>
    <t>UBND xã Thới Thạnh</t>
  </si>
  <si>
    <t>Sửa chữa, nâng cấp Đường Quý Khương Cánh Giữa (ĐA.02), xã Quới Điền</t>
  </si>
  <si>
    <t>xã Quới Điền</t>
  </si>
  <si>
    <t>Đường Quý Khương Cánh Dưới (ĐC.02), xã Quới Điền</t>
  </si>
  <si>
    <t>UBND xã Quới Điền</t>
  </si>
  <si>
    <t>Đường Chín Thông (ĐC.06), xã Quới Điền</t>
  </si>
  <si>
    <t>Xây dựng trụ sở Ủy ban nhân dân xã Hòa Lợi</t>
  </si>
  <si>
    <t>Xã Hòa Lợi</t>
  </si>
  <si>
    <t xml:space="preserve">Sửa chữa trụ sở UBND xã </t>
  </si>
  <si>
    <t>2023-2025</t>
  </si>
  <si>
    <t xml:space="preserve">Nâng cấp, sửa chữa Hội trường thành Nhà văn hóa xã và xây dựng các phòng chức năng, xã Hòa Lợi </t>
  </si>
  <si>
    <t>Trụ sở Ủy ban nhân dân xã Bình Thạnh</t>
  </si>
  <si>
    <t>Xã Bình Thạnh</t>
  </si>
  <si>
    <t>2023-2024</t>
  </si>
  <si>
    <t>Trung tâm hành chính xã  An Thuận</t>
  </si>
  <si>
    <t>Xã An Thuận</t>
  </si>
  <si>
    <t>Mở rộng mạng lưới cấp nước của nhà máy nước  Thạnh Phú trên địa bàn các xã An Qui, Mỹ An, An Điền, và Thạnh Hải. huyện Thạnh Phú</t>
  </si>
  <si>
    <t>Trung tâm NS&amp;VSMTNT</t>
  </si>
  <si>
    <t>xã An Qui, Mỹ An, Thạnh Hải và An Điền</t>
  </si>
  <si>
    <t>tuyến ống 
khoảng
 hơn 40 km</t>
  </si>
  <si>
    <t xml:space="preserve"> Bình Thạnh và xã An Thuận</t>
  </si>
  <si>
    <t>tuyến ống khoảng 26,65 km</t>
  </si>
  <si>
    <t>Trường Mầm non Bình Thạnh</t>
  </si>
  <si>
    <t>Ban Quản lý DA ĐTXD các CT DD&amp;CN</t>
  </si>
  <si>
    <t>Xây dựng 10 PH, 07 PCN; sửa chữa 6 PH thành 6 PCN, HMP và thiết bị.</t>
  </si>
  <si>
    <t>Trường THCS An Thuận</t>
  </si>
  <si>
    <t>Xây mới 9 PH, 9 PCN,HMP và thiết bị; cải tạo 14 PH cũ thành 14 PCN</t>
  </si>
  <si>
    <t>Trường Mầm non Hòa Lợi</t>
  </si>
  <si>
    <t xml:space="preserve">Xây dựng 10 PH, 13 PCN, HMP và  thiết bị. </t>
  </si>
  <si>
    <t xml:space="preserve">Trường Mầm non Mỹ An </t>
  </si>
  <si>
    <t xml:space="preserve">Xã Mỹ An </t>
  </si>
  <si>
    <t>Xây dựng mới 5 PH và 12 PCN, HMP, thiết bị</t>
  </si>
  <si>
    <t>Trường THCS An Thạnh</t>
  </si>
  <si>
    <t>Xây dựng 5 PH và sửa chữa 14 PH cũ thành 14 PCN</t>
  </si>
  <si>
    <t>Trường THCS An Điền</t>
  </si>
  <si>
    <t>xã An Điền</t>
  </si>
  <si>
    <t>Xây mới 7 PH  và 7 PCN, sửa chữa 16 PH cũ thành 16 PCN,  HMP, thiết bị</t>
  </si>
  <si>
    <t>Trường MN Mỹ Hưng</t>
  </si>
  <si>
    <t>Xã Mỹ Hưng</t>
  </si>
  <si>
    <t>Xây dựng  9 PH và cải tạo 03 PH cũ thành 6 PCN và các HMP, thiết bị</t>
  </si>
  <si>
    <t>Trường MN An Qui</t>
  </si>
  <si>
    <t>Xã An Qui</t>
  </si>
  <si>
    <t>Xây dựng mới 10 PH, 5 PCN và các HMP, thiết bị</t>
  </si>
  <si>
    <t>Trường MN Thạnh Hải</t>
  </si>
  <si>
    <t>Xã Thạnh Hải</t>
  </si>
  <si>
    <t>Xây dựng mới 8 PH và 4 PCN, cải tạo 03 PH cũ thành 6 PCN, HMP, thiết bị</t>
  </si>
  <si>
    <t>Đường ĐX.03 (Đường liên xã Hòa Lợi - Quới Điền), xã Hòa Lợi</t>
  </si>
  <si>
    <t xml:space="preserve">Cấp B </t>
  </si>
  <si>
    <t>Đường ĐA.02 (đoạn từ Hai Nhiện đến ấp Quí Lợi), xã Hòa Lợi</t>
  </si>
  <si>
    <t>Huyện Châu Thành</t>
  </si>
  <si>
    <t>Xây dựng Trụ sở UBND xã Tường Đa</t>
  </si>
  <si>
    <t>7834430</t>
  </si>
  <si>
    <t xml:space="preserve">Nâng cấp, sửa chữa trụ sở Ủy ban nhân dân xã An Hóa và xây dựng mới Hội trường văn hóa xã, các phòng chức năng </t>
  </si>
  <si>
    <t>Đường ĐX.03 (Điểm đầu giáp ĐX.01 điểm cuối giáp ĐHDK.13), xã An Hóa</t>
  </si>
  <si>
    <t>7819961</t>
  </si>
  <si>
    <t>Đường ĐX.04 (Đầu giáp ĐHDK.13 cuối giáp ĐX.01), xã An Hóa</t>
  </si>
  <si>
    <t>Xây dựng 02 cống trên tuyến đường ĐA.01 (điểm đầu giáp ĐHĐK.13, điểm cuối giáp ĐX.02), xã An Hóa</t>
  </si>
  <si>
    <t>7820038</t>
  </si>
  <si>
    <t>Đường ĐA.03 (Điểm đầu giáp ĐH.04 điểm cuối giáp ĐX.02), xã An Hóa</t>
  </si>
  <si>
    <t>7819964</t>
  </si>
  <si>
    <t>Đường ĐX.01 (Điểm đầu giáp QL.57C điểm cuối giáp Chợ Thạnh Hưng), xã Tường Đa</t>
  </si>
  <si>
    <t>7826925</t>
  </si>
  <si>
    <t>Đường ĐX.03 (Điểm đầu giáp ĐH.01 điểm cuối giáp QL.57C), xã Tường Đa</t>
  </si>
  <si>
    <t>Đường ĐX.04 (Điểm đầu giáp ĐH.01 điểm cuối giáp Đê Ba Lai), xã Tường Đa</t>
  </si>
  <si>
    <t>7820018</t>
  </si>
  <si>
    <t>Xây mới hội trường văn hóa xã và các phòng chức năng, xã Tường Đa</t>
  </si>
  <si>
    <t>Xã An Hiệp</t>
  </si>
  <si>
    <t>Hạng mục cống, cọc tiêu, biển báo trên đường ĐX.02, xã An Hóa</t>
  </si>
  <si>
    <t>7880213</t>
  </si>
  <si>
    <t>Xã An Hóa</t>
  </si>
  <si>
    <t>Hạng mục cống, cọc tiêu, biển báo trên đường ĐX.02, xã Qưới Thành</t>
  </si>
  <si>
    <t>7880314</t>
  </si>
  <si>
    <t>Xã Quới Thành</t>
  </si>
  <si>
    <t>Hạng mục cống, cọc tiêu, biển báo trên đường ĐX.02, xã Phú An Hòa</t>
  </si>
  <si>
    <t>7880312</t>
  </si>
  <si>
    <t>Xã Phú An Hòa</t>
  </si>
  <si>
    <t>Xã An Khánh</t>
  </si>
  <si>
    <t>Xã Sơn Hòa</t>
  </si>
  <si>
    <t>Xã Phước Thạnh</t>
  </si>
  <si>
    <t>Hạng mục cống, cọc tiêu, biển báo trên đường ĐX.01, xã Tiên Long</t>
  </si>
  <si>
    <t>7880211</t>
  </si>
  <si>
    <t>Xã Tiên Long</t>
  </si>
  <si>
    <t>Xã Tân Phú</t>
  </si>
  <si>
    <t>Hạng mục cầu, cống  cọc tiêu, biển báo đường ĐX.02 (Đoạn 1 từ giáp thị trấn Châu Thành đến tổ NDTQ số 2 ấp Phước Tự; Đoạn 2 từ cầu lò vôi đến giáp lộ 364) - giai đoạn 2, xã An Khánh</t>
  </si>
  <si>
    <t xml:space="preserve"> Xã Giao Long và Xã Phú Đức </t>
  </si>
  <si>
    <t>Hạng mục cống, cọc tiêu, biển báo trên ĐX.05 (Đoạn 1 từ cổng chào ấp Phước Trạch đến Huỳnh Tấn Phát, Đoạn 2 từ nhà ông Nguyễn Hữu Đức đến ngã ba Cây Mít ấp Phú Thạnh)  - giai đoạn 2, xã  Phước Thạnh</t>
  </si>
  <si>
    <t>Đường ĐX.05 (Đoạn 1 từ cổng chào ấp Phước Trạch đến Huỳnh Tấn Phát, Đoạn 2 từ nhà ông Nguyễn Hữu Đức đến ngã ba Cây Mít ấp Phú Thạnh) - giai đoạn 2, xã Phước Thạnh</t>
  </si>
  <si>
    <t>UBND xã Phước Thạnh</t>
  </si>
  <si>
    <t>Đường ĐX.02 (Từ QL60 cũ đến giáp ĐX.01), xã Tân Thạch</t>
  </si>
  <si>
    <t>7843788</t>
  </si>
  <si>
    <t>UBND xã Tân Thạch</t>
  </si>
  <si>
    <t>Xã Tân Thạch</t>
  </si>
  <si>
    <t>Đường ĐA.05 (Điểm đầu giáp ĐT.883 (QL.57B) - điểm cuối giáp trụ sở ấp Tân Huề Tây), xã Tân Thạch</t>
  </si>
  <si>
    <t>7843814</t>
  </si>
  <si>
    <t>UBND xã 
Tân Thạch</t>
  </si>
  <si>
    <t>xã 
Tân Thạch</t>
  </si>
  <si>
    <t>Đường ĐA.01 (Đường liên ấp Phước Thành - Phước Thiện, từ tổ 03 ấp Phước Thành đến ngã ba cầu Cây Vẹt), xã Phước Thạnh</t>
  </si>
  <si>
    <t>7834984</t>
  </si>
  <si>
    <t>Xã
 Phước Thạnh</t>
  </si>
  <si>
    <t>xã
 Phước Thạnh</t>
  </si>
  <si>
    <t>Đường ĐX.05 (Đường từ QL.57B điểm cuối giáp cầu Bảy Xương), xã Phú Đức</t>
  </si>
  <si>
    <t>7827895</t>
  </si>
  <si>
    <t>UBND xã Phú Đức</t>
  </si>
  <si>
    <t>xã Phú Đức</t>
  </si>
  <si>
    <t>Xây dựng mới Trụ sở UBND xã Tam Phước, huyện Châu Thành</t>
  </si>
  <si>
    <t xml:space="preserve"> xã Tam Phước</t>
  </si>
  <si>
    <t>Cải tạo, sửa chữa Trụ sở UBND xã Sơn Hòa</t>
  </si>
  <si>
    <t>xã Sơn Hòa</t>
  </si>
  <si>
    <t>Xây dựng trụ sở Ủy ban nhân dân xã An Hiệp, huyện Châu Thành</t>
  </si>
  <si>
    <t>Xây dựng trụ sở Ủy ban nhân dân xã An Khánh, huyện Châu Thành</t>
  </si>
  <si>
    <t>Khu hành chính xã Tân Phú</t>
  </si>
  <si>
    <t>xã Tân Phú</t>
  </si>
  <si>
    <t>Trường Mẫu giáo Sơn Hòa</t>
  </si>
  <si>
    <t>4PH, 11PCN, HMP,
 thiết bị</t>
  </si>
  <si>
    <t>Trường Tiểu học Sơn Hòa</t>
  </si>
  <si>
    <t>02PH, 3PCN, HMP,
 thiết bị</t>
  </si>
  <si>
    <t>Trường Mẫu giáo Tân Phú</t>
  </si>
  <si>
    <t>14PH, 13PCN, HMP,
 thiết bị</t>
  </si>
  <si>
    <t>1563/QĐ-UBND, 05/7/2021</t>
  </si>
  <si>
    <t>Trường Tiểu học Tân Phú</t>
  </si>
  <si>
    <t>30PH, 27PCN, HMP,
 thiết bị</t>
  </si>
  <si>
    <t>1654/QĐ-UBND, 14/7/2021</t>
  </si>
  <si>
    <t>Trường Mẫu giáo Tam Phước</t>
  </si>
  <si>
    <t>xã Tam Phước</t>
  </si>
  <si>
    <t>9PN, 13 PCN, HMP,
 thiết bị</t>
  </si>
  <si>
    <t>2181/QĐ-UBND, 13/9/2021</t>
  </si>
  <si>
    <t>Ban QLDA XDDD</t>
  </si>
  <si>
    <t>9 PH, 9 PCN, HMP,
 thiết bị</t>
  </si>
  <si>
    <t>1028/QĐ-UBND, 10/5/2021</t>
  </si>
  <si>
    <t xml:space="preserve">Trường THCS Tân Phú </t>
  </si>
  <si>
    <t>6PH, 23PCN, HMP,
 thiết bị</t>
  </si>
  <si>
    <t>535/QĐ-UBND, 19/3/2021</t>
  </si>
  <si>
    <t>Trường THCS Tam Phước</t>
  </si>
  <si>
    <t>10 PH, 12 PCN, HMP,
 thiết bị</t>
  </si>
  <si>
    <t>1024/QĐ-UBND, 10/5/2021</t>
  </si>
  <si>
    <t>Trường Mầm non Trần Văn Ơn, xã Phước Thạnh</t>
  </si>
  <si>
    <t>Trường Mẫu giáo Giao Long</t>
  </si>
  <si>
    <t>Xã 
Giao Long</t>
  </si>
  <si>
    <t>Trường TH-THCS Giao Long</t>
  </si>
  <si>
    <t>Trường Mẫu giáo Phú An Hòa</t>
  </si>
  <si>
    <t>Xã 
Phú An Hòa</t>
  </si>
  <si>
    <t>Trường Tiểu học  Phú An Hòa</t>
  </si>
  <si>
    <t>Trường Tiểu học Tân Thạch A</t>
  </si>
  <si>
    <t>Xã 
Tân Thạch</t>
  </si>
  <si>
    <t>Trường Tiểu học Tân Thạch B</t>
  </si>
  <si>
    <t>Trường Mẫu giáo An Khánh</t>
  </si>
  <si>
    <t>Xã 
An Khánh</t>
  </si>
  <si>
    <t>Trường THCS An Khánh</t>
  </si>
  <si>
    <t>Trường Mẫu giáo Phú Đức</t>
  </si>
  <si>
    <t>Xã 
Phú Đức</t>
  </si>
  <si>
    <t>Trường Tiểu học Phú Đức</t>
  </si>
  <si>
    <t>Trường Mẫu giáo Tiên Thủy</t>
  </si>
  <si>
    <t>Xã 
Tiên Thủy</t>
  </si>
  <si>
    <t>Trường Tiểu học Tiên Thủy B</t>
  </si>
  <si>
    <t>Trường Tiểu học Quới Thành</t>
  </si>
  <si>
    <t>Xã 
Quới Thành</t>
  </si>
  <si>
    <t>Xã 
Tiên Long</t>
  </si>
  <si>
    <t>Trường Mẫu giáo Tiên Long</t>
  </si>
  <si>
    <t>Trung tâm văn hóa, thể thao huyện Châu Thành</t>
  </si>
  <si>
    <t>Huyện Bình Đại</t>
  </si>
  <si>
    <t>Nâng cấp, mở rộng Đường ĐX.01 (Đường vào trung tâm xã Thạnh Phước), huyện Bình Đại</t>
  </si>
  <si>
    <t>7798858</t>
  </si>
  <si>
    <t>Xây dựng mới Trụ sở Ủy ban nhân dân xã; Cải tạo, nâng cấp Nhà văn hóa xã và xây dựng 05 phòng chức năng xã Thạnh Phước</t>
  </si>
  <si>
    <t>7798857</t>
  </si>
  <si>
    <t>Đường ĐX.01 (đoạn từ giáp xã Châu Hưng đến giáp xã Lộc Thuận), xã Thới Lai</t>
  </si>
  <si>
    <t>7808660</t>
  </si>
  <si>
    <t>Xây mới Trụ sở Ủy ban nhân dân xã, Hội trường văn hóa xã và các phòng chức năng xã Thới Lai</t>
  </si>
  <si>
    <t>7828566</t>
  </si>
  <si>
    <t>Đường Bờ Kênh xã Vang Quới Tây, huyện Bình Đại</t>
  </si>
  <si>
    <t>7824992</t>
  </si>
  <si>
    <t>Vang Quới Tây</t>
  </si>
  <si>
    <t>Nâng cấp, mở rộng Đường ĐX.02 (Đường Giồng Cây Trâm), xã Thạnh Phước</t>
  </si>
  <si>
    <t>7798661</t>
  </si>
  <si>
    <t>Đường ĐX02 (đoạn từ giáp đường ĐX.04 đến đường ĐH.07), xã Thới Lai</t>
  </si>
  <si>
    <t>7808673</t>
  </si>
  <si>
    <t>Nâng cấp, mở rộng và xây mới đường ĐX03 (đoạn từ QL.57B, ĐX.04 đến Đường ĐX.01), xã Thới Lai</t>
  </si>
  <si>
    <t>7817335</t>
  </si>
  <si>
    <t>Nâng cấp, mở rộng Đường ĐX.04 (đoạn từ giáp xã Vang Quới Tây, Vang Quới Đông đến sông Ba Lai), xã Thới Lai</t>
  </si>
  <si>
    <t>7816900</t>
  </si>
  <si>
    <t>Đường ĐA04 (Đoạn từ cách Quốc lộ 57B 535m đến đường ĐX01), xã Thới Lai</t>
  </si>
  <si>
    <t>7825201</t>
  </si>
  <si>
    <t>Đường Đê Hậu (ĐA.01), điểm đầu đường ĐX.01, điểm cuối đất ông Đặng Văn Bưng, xã Phú Long</t>
  </si>
  <si>
    <t>7828919</t>
  </si>
  <si>
    <t>UBND xã Phú Long</t>
  </si>
  <si>
    <t>xã Phú Long</t>
  </si>
  <si>
    <t>Đường Giồng Giữa (ĐA.01), xã Thạnh Trị</t>
  </si>
  <si>
    <t>7837573</t>
  </si>
  <si>
    <t>UBND xã Thạnh Trị</t>
  </si>
  <si>
    <t>Đường liên ấp Giồng Tre - Ao Vuông (ĐA.07), điểm đầu đường ĐC. 03, điểm cuối đường ĐX. 05, xã Phú Long</t>
  </si>
  <si>
    <t>Hạng mục cầu, cống, cọc tiêu, biển báo trên Đường ĐX.02 (Đường vào trung tâm xã Long Định), xã Long Định</t>
  </si>
  <si>
    <t>7885738</t>
  </si>
  <si>
    <t>Xã Long Định</t>
  </si>
  <si>
    <t>Hạng mục cầu, cống, cọc tiêu, biển báo trên ĐX.01 (Đường vào trung tâm xã Lộc Thuận, đoạn từ giáp UBND xã Lộc Thuận đến giáp sông Cửa Đại ), xã Lộc Thuận</t>
  </si>
  <si>
    <t>7885741</t>
  </si>
  <si>
    <t>Xã Lộc Thuận</t>
  </si>
  <si>
    <t>Hạng mục cầu, cống, cọc tiêu, biển báo trên ĐX.04 (Đường Tập đoàn 2, ấp Bình Thới 3 từ QL.57B đến đê ven sông Cửa Đại), xã Bình Thới</t>
  </si>
  <si>
    <t>7885740</t>
  </si>
  <si>
    <t>Xã Bình Thới</t>
  </si>
  <si>
    <t>Hạng mục cầu, cống, cọc tiêu, biển báo trên ĐX.02 (Đoạn từ giáp đất ông Phan Văn Khỏe đến giáp đất Ông Bùi Đình Ngân), xã Bình Thắng; Hạng mục biển báo, cọc tiêu trên đường ĐX.04 (Đoạn từ trạm y tế xã đến ngã 3 Chín Tranh), xã Định Trung</t>
  </si>
  <si>
    <t>7885742</t>
  </si>
  <si>
    <t>Xã Bình Thắng và Xã Định Trung</t>
  </si>
  <si>
    <t>Xây dựng trụ sở Ủy ban nhân dân xã Lộc Thuận</t>
  </si>
  <si>
    <t>Trường Mẫu giáo Sao Mai</t>
  </si>
  <si>
    <t>xã
 Long Định</t>
  </si>
  <si>
    <t>10 PH, 11 PCN, HMP, thiết bị</t>
  </si>
  <si>
    <t>Trường Tiểu học Long Định</t>
  </si>
  <si>
    <t>xây mới 7PH, 10 PCN; sửa chửa 8PH, 10 PCN; HMP, thiết bị</t>
  </si>
  <si>
    <t>Đường vào trung tâm xã Phú Long</t>
  </si>
  <si>
    <t>Xã Phú Long</t>
  </si>
  <si>
    <t>Xây dựng 02 cầu trên Đường ĐA.04, xã Phú Long</t>
  </si>
  <si>
    <t>2022- 2024</t>
  </si>
  <si>
    <t>Cải tạo Hội trường Văn hóa xã và cải tạo trụ sở Ủy ban nhân dân xã cũ thành các phòng chức năng, xã Phú Long</t>
  </si>
  <si>
    <t>Đường ĐX.03 Từ Quốc lộ 57B đến Đê Sông Tiền, xã Vang Quới Đông</t>
  </si>
  <si>
    <t>Xã Vang Quới Đông</t>
  </si>
  <si>
    <t>Xây dựng trụ sở UBND xã  Vang Quới Tây</t>
  </si>
  <si>
    <t>Xã Vang Quới Tây</t>
  </si>
  <si>
    <t>Xây dựng trụ sở UBND xã Phú Long</t>
  </si>
  <si>
    <t>Xây dựng trung tâm hành chính xã Định Trung</t>
  </si>
  <si>
    <t>Xã Định Trung</t>
  </si>
  <si>
    <t>Xây dựng trung tâm hành chính  xã Thừa Đức</t>
  </si>
  <si>
    <t>xã Thừa Đức</t>
  </si>
  <si>
    <t>Trường Mẫu giáo Hoa Phượng, xã Vang Quới Tây</t>
  </si>
  <si>
    <t>Trường Mẫu giáo Hương Nhãn, xã Tam Hiệp</t>
  </si>
  <si>
    <t>Xã Tam Hiệp</t>
  </si>
  <si>
    <t>Huyện Ba Tri</t>
  </si>
  <si>
    <t>Đường ĐX.05, (từ nhà ông Nguyễn Văn Ngọt đến cầu ông Đỉnh), xã An Thuỷ</t>
  </si>
  <si>
    <t>7835034</t>
  </si>
  <si>
    <t>UBND xã An Thuỷ</t>
  </si>
  <si>
    <t>xã An Thuỷ</t>
  </si>
  <si>
    <t>Đường ĐX.02 (đoạn từ huyện lộ 14 đến đình An Đức), xã An Đức</t>
  </si>
  <si>
    <t>7820396</t>
  </si>
  <si>
    <t>UBND xã An Đức</t>
  </si>
  <si>
    <t>xã An Đức</t>
  </si>
  <si>
    <t>Đường ĐX.01 (từ ĐHDK.06 đến đất ông Trần Văn Lớt), xã An Hoà Tây</t>
  </si>
  <si>
    <t>7820398</t>
  </si>
  <si>
    <t>UBND xã An Hoà Tây</t>
  </si>
  <si>
    <t>xã An Hoà Tây</t>
  </si>
  <si>
    <t>Đường ĐX.02 (từ ranh xã An Bình Tây đến ngã ba Giồng Chi), xã An Hiệp</t>
  </si>
  <si>
    <t>7820395</t>
  </si>
  <si>
    <t>UBND xã An Hiệp</t>
  </si>
  <si>
    <t>ĐX.03 (từ ĐX.02 đến giáp sông Tân Khai), xã Tân Hưng</t>
  </si>
  <si>
    <t>7820392</t>
  </si>
  <si>
    <t>UBND xã Tân Hưng</t>
  </si>
  <si>
    <t>xã Tân Hưng</t>
  </si>
  <si>
    <t>Sửa chữa, nâng cấp tuyến Đường ĐA.06 (đoạn từ ĐH.16 đến Đường ĐX.02), xã Bảo Thuận</t>
  </si>
  <si>
    <t>7837598</t>
  </si>
  <si>
    <t>UBND xã Bảo Thuận</t>
  </si>
  <si>
    <t>xã Bảo Thuận</t>
  </si>
  <si>
    <t>2020 - 2021</t>
  </si>
  <si>
    <t>Đường ĐA.06 (đoạn từ  HL.14 đến ông Nguyễn Văn Bộn), xã An Đức</t>
  </si>
  <si>
    <t>Đường ĐX.01 (đoạn từ TL.885 đến giáp ranh xã Bảo Thuận), xã Vĩnh Hòa, Ba Tri</t>
  </si>
  <si>
    <t>7811883</t>
  </si>
  <si>
    <t xml:space="preserve"> xã Vĩnh Hòa</t>
  </si>
  <si>
    <t>Đường liên xã Tân Thủy - Bảo Thuận, huyện Ba Tri</t>
  </si>
  <si>
    <t>7799030</t>
  </si>
  <si>
    <t>xã Tân Thủy, 
Bảo Thuận</t>
  </si>
  <si>
    <t>Xây dựng mới trụ sở Ủy ban nhân dân xã; Nhà văn hóa đa năng và các phòng chức năng xã Vĩnh Hòa</t>
  </si>
  <si>
    <t>7819442</t>
  </si>
  <si>
    <t>Nâng cấp, mở rộng Đường ĐX.03 (Đoạn từ đường ĐH 01 đến đường HL.10) và nhánh rẽ, xã Mỹ Chánh</t>
  </si>
  <si>
    <t>7731128</t>
  </si>
  <si>
    <t>Xã Mỹ Chánh</t>
  </si>
  <si>
    <t>Cấp A, B</t>
  </si>
  <si>
    <t>Nâng cấp, mở rộng đường vào trung tâm xã Vĩnh Hòa (Đường ĐX.02), đoạn từ TL.885 đến giáp ranh xã Tân Thủy</t>
  </si>
  <si>
    <t>7809888</t>
  </si>
  <si>
    <t>Đường ĐX.03 (đoạn từ TL.885 đến ĐX.04), xã Vĩnh Hòa</t>
  </si>
  <si>
    <t>7811884</t>
  </si>
  <si>
    <t>Hạng mục cầu, biển báo trên đường ĐX.01 (ĐH.10 đến cầu Kênh Điều), xã Tân Xuân; Hạng mục biển báo: ĐX.01 (đoạn từ ĐH.16 đến Đường ĐX.03), xã Bảo Thuận; ĐX.05 (Từ ĐH.DK.04 đến ĐH.14), xã Phú Ngãi; ĐX.04 (Từ ĐA.02 đến nhánh rẽ ĐX.03), xã Phú Lễ;  ĐX.01 (Từ ĐH.12 đến ĐX.03), xã Mỹ Thạnh</t>
  </si>
  <si>
    <t>7861433</t>
  </si>
  <si>
    <t>Xã Tân Xuân; Xã Bảo Thuận; Xã Phú Ngãi; Xã Phú Lễ; Xã Mỹ Thạnh</t>
  </si>
  <si>
    <t>Hạng mục cầu, biển báo trên đường ĐX.02 (Đoạn từ ĐH.DK.03 đến cầu Bến huyện), xã An Hiệp</t>
  </si>
  <si>
    <t>7881006</t>
  </si>
  <si>
    <t>Hạng mục cầu, cống, biển báo trên đường ĐX.08 (Từ ĐH.14 đến đường ĐX.02), xã An Đức</t>
  </si>
  <si>
    <t>7852050</t>
  </si>
  <si>
    <t>Xã An Đức</t>
  </si>
  <si>
    <t>Hạng mục cầu, biển báo trên đường ĐX.07 (Từ ĐX.02 đến đê Hàm Luông), An Ngãi Tây</t>
  </si>
  <si>
    <t>7857652</t>
  </si>
  <si>
    <t>Xã An Ngãi Tây</t>
  </si>
  <si>
    <t>Hạng mục cầu, biển báo trên đường ĐX.03 (từ ĐH.DK.05 đến lộ An Đức), xã Tân Mỹ</t>
  </si>
  <si>
    <t>7852049</t>
  </si>
  <si>
    <t>Xã Tân Mỹ</t>
  </si>
  <si>
    <t>Hạng mục cầu, biển báo trên đường ĐX.03 (Từ ĐH.14 đến cầu Bờ Chùa), xã Phú Lễ; Hạng mục biển báo trên Đường ĐX.11 (Từ ĐX.07 đến ĐX.08), xã Tân Hưng; Hạng mục biển báo trên Đường ĐX.03 (Từ QL.57C đến ĐH.01), xã An Bình Tây.</t>
  </si>
  <si>
    <t>7861434</t>
  </si>
  <si>
    <t>Xã Phú Lễ,  Xã Tân Hưng; Xã An Bình Tây</t>
  </si>
  <si>
    <t>Xây dựng trụ sở Ủy ban nhân dân xã Mỹ Thạnh</t>
  </si>
  <si>
    <t>xã Mỹ Thạnh</t>
  </si>
  <si>
    <t>Trường MG Phú Lễ</t>
  </si>
  <si>
    <t>xã Phú Lễ</t>
  </si>
  <si>
    <t>xây mới 5 PH
14 PCN; sửa chữa các PH; HMP, thiết bị</t>
  </si>
  <si>
    <t>380/QĐ-UBND, 25/2/2021</t>
  </si>
  <si>
    <t xml:space="preserve">Trường Trung học cơ sở Phú Lễ </t>
  </si>
  <si>
    <t>xây mới 12 PH
29 PCN, HMP, thiết bị</t>
  </si>
  <si>
    <t>471/QĐ-UBND, 11/3/2021</t>
  </si>
  <si>
    <t xml:space="preserve">Trường Tiểu học Phú Lễ </t>
  </si>
  <si>
    <t>xây mới 14 PCN; sửa chửa 14 PH,
 6 PCN, HMP, thiết bị</t>
  </si>
  <si>
    <t>472/QĐ-UBND, 11/3/2021</t>
  </si>
  <si>
    <t>Trường Mầm non An Bình Tây</t>
  </si>
  <si>
    <t>xã  An Bình Tây</t>
  </si>
  <si>
    <t>Trường Trung học cơ sở An Bình Tây</t>
  </si>
  <si>
    <t xml:space="preserve"> Trường Mầm non Phước Ngãi</t>
  </si>
  <si>
    <t>xã Phước Ngãi</t>
  </si>
  <si>
    <t>Trường Tiểu học Phước Ngãi</t>
  </si>
  <si>
    <t>Huyện Giồng Trôm</t>
  </si>
  <si>
    <t>Nâng cấp, mở rộng đường vào trung tâm xã Châu Hòa (gồm đường ĐX.01 và ĐX.02)</t>
  </si>
  <si>
    <t>7812085</t>
  </si>
  <si>
    <t>Xã Châu Hòa</t>
  </si>
  <si>
    <t>Đường ĐA.05 (Đường Thuận Điền - Lương Phú - Sơn Phú, đoạn từ nhà ông Hồ Văn Nhân đến nhà ông Bùi Tuấn Nguyễn), xã Thuận Điền</t>
  </si>
  <si>
    <t>7829140</t>
  </si>
  <si>
    <t>UBND xã Thuận Điền</t>
  </si>
  <si>
    <t>xã Thuận Điền</t>
  </si>
  <si>
    <t>Đường trục chính ấp Mỹ Hoà, xã Long Mỹ</t>
  </si>
  <si>
    <t>UBND xã Long Mỹ</t>
  </si>
  <si>
    <t>xã Long Mỹ</t>
  </si>
  <si>
    <t>Đường liên ấp 5-6 (ĐC.05), xã Thạnh Phú Đông (đoạn 2)</t>
  </si>
  <si>
    <t>UBND xã Thạnh Phú Đông</t>
  </si>
  <si>
    <t>Đường ĐC.03 (Đường lộ liên ấp 2 - 3, từ cầu trường THCS đến ngã ba lộ Hoà Trị), xã Lương Hòa</t>
  </si>
  <si>
    <t>UBND xã Lương Hòa</t>
  </si>
  <si>
    <t>xã Lương Hòa</t>
  </si>
  <si>
    <t>Hạng mục cầu, biển báo trên Đường ĐX.01 (Đoạn từ QL.57C đến ĐX.02), xã Long Mỹ</t>
  </si>
  <si>
    <t>Xã Long Mỹ</t>
  </si>
  <si>
    <t>Hạng mục cầu, cống, biển báo, cọc tiêu trên đường ĐX.03, xã Sơn Phú; Hạng mục biển báo, cọc tiêu: ĐX.03, xã Hưng Lễ; ĐX.01 (đoạn từ Nghĩa Trang cũ đến cầu Cái Sơn), xã Thuận Điền; ĐX.02 (đường lộ Giồng Bà Mén), xã Tân Hào</t>
  </si>
  <si>
    <t>Xã Sơn Phú; Xã Hưng Lễ; Xã Thuận Điền; Xã Tân Hào</t>
  </si>
  <si>
    <t>Hạng mục cầu, cọc tiêu, biển báo trên ĐX.04, xã Long Mỹ</t>
  </si>
  <si>
    <t>7881422</t>
  </si>
  <si>
    <t>Hạng mục cầu, cọc tiêu, biển báo trên ĐX.03, xã Thuận Điền</t>
  </si>
  <si>
    <t>7881421</t>
  </si>
  <si>
    <t>Xã Thuận Điền</t>
  </si>
  <si>
    <t>Hạng mục cống, cọc tiêu, biển báo trên ĐX.04, xã Hưng Lễ; Hạng mục cống, cọc tiêu, biển báo trên ĐX.04, xã Hưng Nhượng; Hạng mục cọc tiêu, biển báo trên ĐX.02, xã Tân Thanh</t>
  </si>
  <si>
    <t>7881420</t>
  </si>
  <si>
    <t>Xã Hưng Lễ, Xã Hưng Nhượng, Xã Tân Thanh</t>
  </si>
  <si>
    <t>Hạng mục cầu, cọc tiêu, biển báo trên ĐX.02 (Đoạn từ ĐT.885 đến cầu Ba Vong), xã Lương Hòa</t>
  </si>
  <si>
    <t>Xã Lương Hòa</t>
  </si>
  <si>
    <t xml:space="preserve">Hạng mục cống, cọc tiêu, biển báo trên ĐX.01 (Đoạn từ cầu Đông Ngô đến nhà ông Lê Thanh Hùng), xã Bình Hòa; Hạng mục cọc tiêu, biển báo trên ĐX.02 (Đoạn từ ĐH.DK.30 đến cầu Đìa Mới), xã Phước Long; Hạng mục cọc tiêu, biển báo trên ĐX.03 (Đoạn từ đường liên xã Mỹ Thạnh - Thuận Điền đến ĐA.07), xã Mỹ Thạnh </t>
  </si>
  <si>
    <t>7881418</t>
  </si>
  <si>
    <t>Xã Bình Hòa, Xã Phước Long, Xã Mỹ Thạnh</t>
  </si>
  <si>
    <t>Đường ĐX.02 (Đoạn từ ĐT.885 đến cầu Ba Vong),  xã Lương Hòa</t>
  </si>
  <si>
    <t>Nâng cấp, sửa chữa trụ sở UBND xã; cải tạo hội trường UBND xã thành Hội trường văn hóa xã, xây dựng các phòng chức năng và các hạng mục phụ, xã Thạnh Phú Đông, huyện Giồng Trôm</t>
  </si>
  <si>
    <t>Nâng cấp, sửa chữa trụ sở UBND xã; cải tạo hội trường UBND xã thành Hội trường văn hóa xã, xây dựng các phòng chức năng và các hạng mục phụ, xã Sơn Phú,  huyện Giồng Trôm</t>
  </si>
  <si>
    <t>Nâng cấp, sửa chữa trụ sở UBND xã; cải tạo hội trường UBND xã thành Hội trường văn hóa xã, xây dựng các phòng chức năng và các hạng mục phụ xã Hưng Lễ,  huyện Giồng Trôm</t>
  </si>
  <si>
    <t>xã Hưng Lễ</t>
  </si>
  <si>
    <t>Nâng cấp, sửa chữa trụ sở UBND xã Mỹ Thạnh,  huyện Giồng Trôm</t>
  </si>
  <si>
    <t>Trường Tiểu học Lê Thọ Xuân, Tân Hào</t>
  </si>
  <si>
    <t>xã Tân 
Hào</t>
  </si>
  <si>
    <t>Trường Mầm non Tân Hào</t>
  </si>
  <si>
    <t>* Điểm chính: 6 PH, 13 PCN, HMP, thiết bị.
* Điểm lẻ: cải tạo PH và PCN, HMP</t>
  </si>
  <si>
    <t>Nâng cấp, sửa chữa trụ sở UBND xã Tân Hào</t>
  </si>
  <si>
    <t>Trường Tiểu học Thuận Điền</t>
  </si>
  <si>
    <t>Trường THCS Thuận Điền</t>
  </si>
  <si>
    <t>Trường Mầm non Phong Nẫm</t>
  </si>
  <si>
    <t>xã Phong Nẫm</t>
  </si>
  <si>
    <t xml:space="preserve">Điểm chính xây dựng 04 PH, HMP. Điểm lẻ: Xây dựng  02 PH, 06 PCN và các HMP </t>
  </si>
  <si>
    <t>Trung tâm hành chính xã Long Mỹ</t>
  </si>
  <si>
    <t xml:space="preserve"> sửa chữa trụ sở UBND xã </t>
  </si>
  <si>
    <t>Trung tâm hành chính xã Tân Thanh</t>
  </si>
  <si>
    <t>Xã Tân Thanh</t>
  </si>
  <si>
    <t xml:space="preserve">sửa chữa trụ sở UBND xã </t>
  </si>
  <si>
    <t>Trường Tiểu học Bình Hòa</t>
  </si>
  <si>
    <t>Xã Bình Hòa</t>
  </si>
  <si>
    <t>Trường Mầm non Bình Phú</t>
  </si>
  <si>
    <t>xã Bình Phú</t>
  </si>
  <si>
    <t>3 phòng học và 1 bếp ăn</t>
  </si>
  <si>
    <t>Ghi chú: đối với các công trình chưa có quyết định đầu tư thì tổng mức đầu tư và năng lực thiết kế là tính toán sơ bộ, sẽ được xác định cụ thể trong quá trình lập BC kinh tế kỹ thuật, BC nghiên cứu khả thi</t>
  </si>
  <si>
    <t>Trường bắn -Bộ CHQS tỉnh</t>
  </si>
  <si>
    <t>166/QĐ-SXD ngày 05/7/2022</t>
  </si>
  <si>
    <t>418/QĐ-UBND ngày 08/3/2023</t>
  </si>
  <si>
    <t>Dự kiến triển khai cuối giai đoạn năm 2025</t>
  </si>
  <si>
    <t>Dự kiến triển khai thực hiện năm 2024</t>
  </si>
  <si>
    <t>1878/QĐ-UBND ngày 11/9/2018</t>
  </si>
  <si>
    <t>Dự án hoàn thành</t>
  </si>
  <si>
    <t xml:space="preserve">Xã lên thị trấn </t>
  </si>
  <si>
    <t>Khu hành chính xã An Phú Trung</t>
  </si>
  <si>
    <t>Trường TH Thừa Đức (giai đoạn 2)</t>
  </si>
  <si>
    <t>Dự án chuyến tiếp sang giai đoạn 2021 - 2025</t>
  </si>
  <si>
    <t>Xã lên thị trấn</t>
  </si>
  <si>
    <t>Dự án chuyến tiếp sang giai đoạn
 2021 - 2025</t>
  </si>
  <si>
    <t>Dự án chuẩn bị đầu tư</t>
  </si>
  <si>
    <t>Dự án chuẩn bị dầu tư</t>
  </si>
  <si>
    <t>Điều chỉnh kế hoạch đầu tư công trung hạn giai đoạn từ năm 2021 đến năm 2025</t>
  </si>
  <si>
    <t>Vốn bổ sung từ các nguồn tăng thu</t>
  </si>
  <si>
    <t>Dự án Xây dựng tuyến đường bộ ven biển kết nối tỉnh Bến Tre với tỉnh Tiền Giang và Trà Vinh</t>
  </si>
  <si>
    <t>Danh mục dự án được phân bổ chi tiết theo Nghị quyết về kế hoạch đầu tư công hàng năm</t>
  </si>
  <si>
    <t>HỖ TRỢ ĐẦU TƯ CÁC CỤM CÔNG NGHIỆP TRÊN ĐỊA BÀN TỈNH</t>
  </si>
  <si>
    <t>BỐ TRÍ VỐN KẾ HOẠCH ĐỂ TRIỂN KHAI CÔNG TÁC LẬP QUY HOẠCH CỦA TỈNH (THEO LUẬT QUY HOẠCH NGÀY 24/11/2017)</t>
  </si>
  <si>
    <t>Kết thúc dự án</t>
  </si>
  <si>
    <t>HỖ TRỢ HỢP TÁC XÃ THEO QUY ĐỊNH CỦA LUẬT HỢP TÁC XÃ</t>
  </si>
  <si>
    <t>ĐỐI ỨNG ĐẦU TƯ CÁC DỰ ÁN THÀNH PHẦN THUỘC CHƯƠNG TRÌNH DPO</t>
  </si>
  <si>
    <t>VỐN ĐẦU TƯ TỪ NGUỒN BỘI CHI NGÂN SÁCH ĐỊA PHƯƠNG</t>
  </si>
  <si>
    <t>Dự án Xây dựng tuyến đường bộ ven biển kết nối tỉnh Bến Tre với tỉnh Tiền Giang và Trà Vinh và dự án cầu Bình Thới 2</t>
  </si>
  <si>
    <t>Đối ứng vốn ngân sách Trung ương từ Bộ NNPTNT</t>
  </si>
  <si>
    <t>Đối ứng vốn địa phương cho dự án sử dụng vốn ODA</t>
  </si>
  <si>
    <t>Đối ứng vốn địa phương với dự án viện trợ ODA không hoàn lại</t>
  </si>
  <si>
    <t>Đã triển khai hoàn thành các trụ sở trong giai đoạn 1. Vì vậy, giảm danh mục đầu tư giai đoạn 2 do không đủ vốn để khởi công mới, tập trung đối ứng với Bộ Quốc phòng cho dự án Ban CHQS huyện Giồng Trôm</t>
  </si>
  <si>
    <t>Giảm danh mục đầu tư giai đoạn do không đủ nguồn vốn để khởi công mới</t>
  </si>
  <si>
    <t>Các cấp thực hiện theo Nghị quyết số 24/2020/NQ-HĐND ngày 09/12/2020 của Hội đồng nhân dân tỉnh</t>
  </si>
  <si>
    <t>Doanh trại Cảnh sát phòng cháy, chữa cháy và cứu nạn, cứu hộ khu vực huyện Ba Tri</t>
  </si>
  <si>
    <t>Bổ sung vốn thanh toán, quyết toán, kết thúc dự án</t>
  </si>
  <si>
    <t>Đối ứng vốn NSTW</t>
  </si>
  <si>
    <t>Giảm danh mục và vốn do chưa hoàn tất hồ sơ thủ tục về dự án vay vốn ODA và dự án cầu Bình Thới 2 đã được điều chỉnh</t>
  </si>
  <si>
    <t>Dự án được sử dụng các nguồn vốn của ngân sách địa phương trong trung hạn 2021-2025</t>
  </si>
  <si>
    <t>LĨNH VỰC CÔNG NGHIỆP</t>
  </si>
  <si>
    <t>LĨNH VỰC VĂN HÓA -THỂ THAO VÀ DU LỊCH</t>
  </si>
  <si>
    <t>LĨNH VỰC QUẢN LÝ NHÀ NƯỚC - ĐẢNG ĐOÀN THỂ</t>
  </si>
  <si>
    <t>LĨNH VỰC AN NINH  - QUỐC PHÒNG</t>
  </si>
  <si>
    <t>Đối ứng vốn NSTW đầu tư giai đoạn 2 của dự án</t>
  </si>
  <si>
    <t>ĐIỀU CHỈNH, BỔ SUNG KẾ HOẠCH ĐẦU TƯ CÔNG TRUNG HẠN NGUỒN VỐN NGÂN SÁCH NHÀ NƯỚC TỈNH BẾN TRE GIAI ĐOẠN 2021 - 2025 TỪ NGUỒN THU XỔ SỐ KIẾN THIẾT</t>
  </si>
  <si>
    <t>HỖ TRỢ ĐẦU TƯ CHƯƠNG TRÌNH XÂY DỰNG NÔNG THÔN MỚI</t>
  </si>
  <si>
    <t>CHI TRẢ NỢ CÁC KHOẢN DO CHÍNH QUYỀN ĐỊA PHƯƠNG VAY</t>
  </si>
  <si>
    <t>Dự án Xây dựng Cầu Ba Lai 8 trên tuyến đường bộ ven biển tỉnh Bến Tre</t>
  </si>
  <si>
    <t>Dự án Xây dựng tuyến đường bộ ven biển kết nối tỉnh Bến Tre với Tiền Giang và Trà Vinh và dự án cầu Bình Thới 2</t>
  </si>
  <si>
    <t>Bổ sung kế hoạch, đầu tư hoàn thành dự án trong giai đoạn</t>
  </si>
  <si>
    <r>
      <t xml:space="preserve">Danh mục chi tiết theo </t>
    </r>
    <r>
      <rPr>
        <b/>
        <u/>
        <sz val="16"/>
        <rFont val="Times New Roman"/>
        <family val="1"/>
      </rPr>
      <t>Phụ lục II.a</t>
    </r>
    <r>
      <rPr>
        <b/>
        <sz val="16"/>
        <rFont val="Times New Roman"/>
        <family val="1"/>
      </rPr>
      <t xml:space="preserve"> đính kèm</t>
    </r>
  </si>
  <si>
    <r>
      <t xml:space="preserve">Danh mục chi tiết theo </t>
    </r>
    <r>
      <rPr>
        <b/>
        <u/>
        <sz val="16"/>
        <rFont val="Times New Roman"/>
        <family val="1"/>
      </rPr>
      <t>Phụ lục II.b</t>
    </r>
    <r>
      <rPr>
        <b/>
        <sz val="16"/>
        <rFont val="Times New Roman"/>
        <family val="1"/>
      </rPr>
      <t xml:space="preserve"> đính kèm</t>
    </r>
  </si>
  <si>
    <t xml:space="preserve">Giảm vốn do đã bố trí từ nguồn đầu tư trong cân đối </t>
  </si>
  <si>
    <t>Đối ứng vốn ngân sách Trung ương</t>
  </si>
  <si>
    <t>Hoàn thành, quyết toán kết thúc dự án trong giai đoạn</t>
  </si>
  <si>
    <t>Thuộc Đề án Làng Văn hóa du lịch huyện Chợ Lách</t>
  </si>
  <si>
    <t>Bổ sung vốn, hoàn thành kết thúc dự án</t>
  </si>
  <si>
    <r>
      <t xml:space="preserve">Danh mục chi tiết theo </t>
    </r>
    <r>
      <rPr>
        <b/>
        <u/>
        <sz val="16"/>
        <rFont val="Times New Roman"/>
        <family val="1"/>
      </rPr>
      <t>Phụ luc II.c</t>
    </r>
    <r>
      <rPr>
        <b/>
        <sz val="16"/>
        <rFont val="Times New Roman"/>
        <family val="1"/>
      </rPr>
      <t xml:space="preserve"> đính kèm</t>
    </r>
  </si>
  <si>
    <t>Bổ sung vốn để hoàn thành dự án</t>
  </si>
  <si>
    <t>Bổ sung vốn do các dự án ODA do địa phương quản lý đã đến hạn trả nợ gốc</t>
  </si>
  <si>
    <t>Đầu tư theo yêu cầu của Bộ Tài nguyên và Môi trường</t>
  </si>
  <si>
    <t>Thực hiện theo quy định tại Thông tư  số 47/2022/TT-BTC ngày 29/7/2022 về hướng dẫn xây dựng dự toán ngân sách nhà nước năm 2023, kế hoạch tài chính - ngân sách nhà nước 03 năm 2023-2025</t>
  </si>
  <si>
    <t>Trong đó: Vốn đầu tư từ nguồn tăng thu XSKT các năm trước chuyển sang</t>
  </si>
  <si>
    <t>Bổ sung danh mục và dự kiến triển khai năm 2024</t>
  </si>
  <si>
    <t>Bổ sung danh mục và triển khai đầu tư năm 2024 để hoàn chỉnh CSVC đạt chuẩn quốc gia</t>
  </si>
  <si>
    <r>
      <t>Xây dựng 12 PH, 13 PCN,HMP, thiết bị. Thu hồi khoảng 4.100m</t>
    </r>
    <r>
      <rPr>
        <vertAlign val="superscript"/>
        <sz val="16"/>
        <rFont val="Times New Roman"/>
        <family val="1"/>
      </rPr>
      <t>2</t>
    </r>
    <r>
      <rPr>
        <sz val="16"/>
        <rFont val="Times New Roman"/>
        <family val="1"/>
      </rPr>
      <t xml:space="preserve"> đất</t>
    </r>
  </si>
  <si>
    <r>
      <t>Xây mới 03 PH, 01 PCN; HMP và thiết bị; thu hồi khoảng 1.200m</t>
    </r>
    <r>
      <rPr>
        <vertAlign val="superscript"/>
        <sz val="16"/>
        <rFont val="Times New Roman"/>
        <family val="1"/>
      </rPr>
      <t>2</t>
    </r>
    <r>
      <rPr>
        <sz val="16"/>
        <rFont val="Times New Roman"/>
        <family val="1"/>
      </rPr>
      <t xml:space="preserve"> đất</t>
    </r>
  </si>
  <si>
    <t xml:space="preserve">Giai đoạn từ năm 2021 đến năm 2025 </t>
  </si>
  <si>
    <t>Nhu cầu vốn trong giai đoạn 2021-2025</t>
  </si>
  <si>
    <t>Ngân sách tỉnh</t>
  </si>
  <si>
    <t>Phụ lục II.b</t>
  </si>
  <si>
    <t>Vốn đầu tư Kho bạc nhà nước đã thanh toán</t>
  </si>
  <si>
    <t xml:space="preserve"> BỐ TRÍ THANH TOÁN KHỐI LƯỢNG, QUYẾT TOÁN,  TẤT TOÁN CÁC DỰ ÁN HOÀN THÀNH</t>
  </si>
  <si>
    <t xml:space="preserve">Điều chỉnh kế hoạch đầu tư công trung hạn 2021-2025 </t>
  </si>
  <si>
    <t xml:space="preserve">Kế hoạch đầu tư công trung hạn 2021-2025  đã được phê duyệt </t>
  </si>
  <si>
    <t>Điều chỉnh kế hoạch đầu tư công trung hạn 2021-2025</t>
  </si>
  <si>
    <r>
      <t>Xây dựng mới 14 PH, 14 PCN, các HMP  và  thiết bị. Thu hồi khoảng 5.135m</t>
    </r>
    <r>
      <rPr>
        <vertAlign val="superscript"/>
        <sz val="16"/>
        <rFont val="Times New Roman"/>
        <family val="1"/>
      </rPr>
      <t>2</t>
    </r>
    <r>
      <rPr>
        <sz val="16"/>
        <rFont val="Times New Roman"/>
        <family val="1"/>
      </rPr>
      <t xml:space="preserve"> đất</t>
    </r>
  </si>
  <si>
    <t>673/QĐ-SGTVT ngày 16/11/2020</t>
  </si>
  <si>
    <t>Tăng cường cơ sở vật chất ngành giáo dục và lồng ghép hỗ trợ nông thôn mới</t>
  </si>
  <si>
    <t>Đầu tư cơ sở hạ tầng Cụm Công nghiệp thị trấn Ba Tri - An Đức, huyện Ba Tri (giai đoạn 3)</t>
  </si>
  <si>
    <t>Đầu tư xây dựng cơ sở hạ tầng Cụm Công nghiệp Tân Thành Bình, huyện Mỏ Cày Bắc</t>
  </si>
  <si>
    <t>3062/QĐ-UB 20/11/2020</t>
  </si>
  <si>
    <t>3040/QĐ-UB 30/12/2022</t>
  </si>
  <si>
    <t>1978/QĐ-UBND ngày 20/8/2021</t>
  </si>
  <si>
    <t>HM cầu, cống, cọc tiêu, biển báo trên đường ĐX.05 (đoạn 1 từ cổng chào ấp Phước Trạch đến Huỳnh tấn Phát, đoạn 2 từ nhà ông Nguyễn Hữu Đức đến ngã 3 cây Mít ấp Phú Thạnh) - giai đoạn 2, xã Phước Thạnh, huyện Châu Thành</t>
  </si>
  <si>
    <t>HM cầu, cống, cọc tiêu, biển báo trên đường ĐX.05 (từ QL.57B đến giáp đường ĐX.04), xã Giao Long; HM biển báo trên ĐX.06 đường liên xã Phú Đức - Phú Túc từ cầu Phú Long đến giáp cầu Miễu Trắng), xã Phú Đức, huyện Châu Thành</t>
  </si>
  <si>
    <t>Đài PTTH</t>
  </si>
  <si>
    <t>7868798</t>
  </si>
  <si>
    <t>7659400</t>
  </si>
  <si>
    <t>2403/QĐ-UB ngày 17/10/2022</t>
  </si>
  <si>
    <t>2021 - 2023</t>
  </si>
  <si>
    <t>2316/QĐ-UB ngày 11/10/2022</t>
  </si>
  <si>
    <t>118/QĐ-STC ngày 29/10/2022</t>
  </si>
  <si>
    <t>2017 - 2019</t>
  </si>
  <si>
    <t>2017 -2021</t>
  </si>
  <si>
    <t>2602/QĐ-UB 31/10/2017</t>
  </si>
  <si>
    <t>189/QĐ-SXD ngày 30/9/2017</t>
  </si>
  <si>
    <t>Ban QLDA ĐTXD DDCN</t>
  </si>
  <si>
    <t>442/QĐ-SGTVT,ngày  28/10/2019</t>
  </si>
  <si>
    <t>205/QĐ-SXD, ngày 06/12/2021</t>
  </si>
  <si>
    <t>201/QĐ-SXD, ngày 31/10/2019; 234/QĐ-SXD ngày 25/5/2020</t>
  </si>
  <si>
    <t>434/QĐ-SXD, ngày 13/11/2020</t>
  </si>
  <si>
    <t>176/QĐ-SXD ngày 14/10/2021</t>
  </si>
  <si>
    <t>441/QĐ-SXD, ngày 13/11/2020</t>
  </si>
  <si>
    <t>54/QĐ-UBND, ngày 9/4/2020</t>
  </si>
  <si>
    <t>670/QĐ-GTVT, ngày 16/11/2020</t>
  </si>
  <si>
    <t>660/QĐ-GTVT, ngày 16/11/2020</t>
  </si>
  <si>
    <t>131/QĐ-SXD, ngày 30/6/2021</t>
  </si>
  <si>
    <t xml:space="preserve">Xây mới 8PH, 5 PCN, HMP, thiết bị, </t>
  </si>
  <si>
    <t>Xây mới 5 PCN, thiết bị, HMP, sửa chữa các hạng mục hiện hữu</t>
  </si>
  <si>
    <t>176/QĐ-SXD ngày 31/10/2018</t>
  </si>
  <si>
    <t>113/QĐ-UBND ngày 01/10/2020</t>
  </si>
  <si>
    <t>100/QĐ-UBND ngày 8/4/2020</t>
  </si>
  <si>
    <t>98/QĐ-UBND ngày 08/4/2020</t>
  </si>
  <si>
    <t>153/QĐ-UBND ngày 09/4/2020</t>
  </si>
  <si>
    <t>645/QĐ-SGTVT ngày 16/11/2020</t>
  </si>
  <si>
    <t>646/QĐ-SGTVT ngày  16/11/2020</t>
  </si>
  <si>
    <t>647/QĐ-SGTVT ngày 16/11/2020</t>
  </si>
  <si>
    <t>648/QĐ-SGTVT ngày  16/11/2020</t>
  </si>
  <si>
    <t>1752/QĐ-UBND  ngày 23/7/2021</t>
  </si>
  <si>
    <t>483/QĐ-SXD ngày 24/12/2020</t>
  </si>
  <si>
    <t>482/QĐ-SXD ngày 24/12/2020</t>
  </si>
  <si>
    <t>142/QĐ-SXD ngày 19/8/2021</t>
  </si>
  <si>
    <t>484/QĐ-SXD ngày 24/12/2020</t>
  </si>
  <si>
    <t>650/QĐ-SGTVT ngày  16/11/2020</t>
  </si>
  <si>
    <t>651/QĐ-SGTVT ngày  16/11/2020</t>
  </si>
  <si>
    <t>649/QĐ-SGTVT ngày  16/11/2020</t>
  </si>
  <si>
    <t>27/QĐ-UBND ngày 10/01/2020; 333/QĐ-UBND ngày 22/9/2020</t>
  </si>
  <si>
    <t>449/QĐ-SGTVT ngày  28/10/2019</t>
  </si>
  <si>
    <t>81/QĐ-UBND ngày 07/4/2020</t>
  </si>
  <si>
    <t>425/QĐ-SXD ngày 13/11/2020</t>
  </si>
  <si>
    <t>513/QĐ-SGTVT ngày 17/9/2020</t>
  </si>
  <si>
    <t>378/QĐ-SGTVT ngày  30/7/2020</t>
  </si>
  <si>
    <t>500/QĐ-SGTVT ngày  14/9/2020</t>
  </si>
  <si>
    <t>388/QĐ-SGTVT ngày 05/08/2020</t>
  </si>
  <si>
    <t>561/QĐ-SGTVT ngày  01/10/2020</t>
  </si>
  <si>
    <t>562/QĐ-SGTVT ngày  01/10/2020</t>
  </si>
  <si>
    <t>398/QĐ-SGTVT ngày  09/10/2019</t>
  </si>
  <si>
    <t>399/QĐ-SGTVT ngày  09/10/2019</t>
  </si>
  <si>
    <t>2305/QĐ-UBND ngày 24/10/2018</t>
  </si>
  <si>
    <t>187/QĐ-SXD ngày 30/10/2019</t>
  </si>
  <si>
    <t>452/QĐ-SGTVT
ngày  19/10/2019</t>
  </si>
  <si>
    <t>2106/QĐ-UBND ngày 26/9/2019</t>
  </si>
  <si>
    <t>139/QĐ-UBND ngày 20/12/2019</t>
  </si>
  <si>
    <t>115/QĐ-UBND ngày 01/10/2020</t>
  </si>
  <si>
    <t>114/QĐ-UBND ngày 01/10/2020</t>
  </si>
  <si>
    <t>177/QĐ-UBND ngày 28/10/2020</t>
  </si>
  <si>
    <t>176/QĐ-UBND ngày 28/10/2020</t>
  </si>
  <si>
    <t>175/QĐ-UBND ngày 28/10/2020</t>
  </si>
  <si>
    <t>193/QĐ-UBND ngày 31/12/2019</t>
  </si>
  <si>
    <t>194/QĐ-UBND ngày 31/12/2019</t>
  </si>
  <si>
    <t>200/QĐ-UBND ngày 25/11/2019</t>
  </si>
  <si>
    <t>248/QĐ-UBND ngày 31/12/2019</t>
  </si>
  <si>
    <t>33/QĐ-UBND ngày 07/4/2020</t>
  </si>
  <si>
    <t xml:space="preserve">191/QĐ-SXD, ngày 31/10/2019; 336/QĐ-SXD ngày 20/8/2020 </t>
  </si>
  <si>
    <t>190/QĐ-SXD, ngày 31/10/2019; 279/QĐ-SXD ngày 30/6/2020</t>
  </si>
  <si>
    <t>441/QĐ-SGTVT ngày 28/10/2019</t>
  </si>
  <si>
    <t>438/QĐ-SGTVT ngày 28/10/2019</t>
  </si>
  <si>
    <t>440/QĐ-SGTVT ngày 28/10/2019</t>
  </si>
  <si>
    <t>439/QĐ-SGTVT ngày  28/10/2019; 159/QĐ-SGTVT ngày  13/4/2020</t>
  </si>
  <si>
    <t>633/QĐ-SGTVT ngày 11/11/2020</t>
  </si>
  <si>
    <t>666/QĐ-SGTVT ngày  16/11/2020</t>
  </si>
  <si>
    <t>669/QĐ-SGTVT ngày  16/11/2020</t>
  </si>
  <si>
    <t>667/QĐ-SGTVT ngày 16/11/2020</t>
  </si>
  <si>
    <t>664/QĐ-SGTVT ngày 16/11/2020</t>
  </si>
  <si>
    <t>668/QĐ-SGTVT ngày 16/11/2020</t>
  </si>
  <si>
    <t>663/QĐ-SGTVT ngày  16/11/2020</t>
  </si>
  <si>
    <t>662/QĐ-SGTVT ngày 16/11/2020</t>
  </si>
  <si>
    <t>665/QĐ-SGTVT ngày 16/11/2020</t>
  </si>
  <si>
    <t>639/QĐ-SGTVT 13/11/2020</t>
  </si>
  <si>
    <t>3097/QĐ-UBND ngày 26/11/2020</t>
  </si>
  <si>
    <t>427/QĐ-SXD, ngày 13/11/2020 184/QĐ-SXD ngày 22/7/2022</t>
  </si>
  <si>
    <t>206/QĐ-SXD ngày 06/12/2021</t>
  </si>
  <si>
    <t>1753/QĐ-UBND ngày 23/7/2021</t>
  </si>
  <si>
    <t>428/QĐ-SXD ngày 13/11/2020</t>
  </si>
  <si>
    <t>202/QĐ-SXD ngày 31/10/2019</t>
  </si>
  <si>
    <t>469/QĐ-SGTVT ngày 30/10/2019</t>
  </si>
  <si>
    <t>464/QĐ-SGTVT ngày  30/10/2019</t>
  </si>
  <si>
    <t>467/QĐ-SGTVT ngày  30/10/2019</t>
  </si>
  <si>
    <t>461/QĐ-SGTVT ngày  30/10/2019</t>
  </si>
  <si>
    <t>455/QĐ-SGTVT ngày 30/10/2019</t>
  </si>
  <si>
    <t>473/QĐ-SGTVT ngày 30/10/2019</t>
  </si>
  <si>
    <t>458/QĐ-SGTVT ngày 30/10/2019</t>
  </si>
  <si>
    <t>471/QĐ-SGTVT ngày 30/10/2019</t>
  </si>
  <si>
    <t>459/QĐ-SGTVT ngày 30/10/2019</t>
  </si>
  <si>
    <t>462/QĐ-SGTVT ngày 30/10/2019</t>
  </si>
  <si>
    <t>456/QĐ-SGTVT ngày 30/10/2019</t>
  </si>
  <si>
    <t>468/QĐ-SGTVT ngày 30/10/2019</t>
  </si>
  <si>
    <t>474/QĐ-SGTVT ngày 31/10/2019</t>
  </si>
  <si>
    <t>470/QĐ-SGTVT ngày 30/10/2019</t>
  </si>
  <si>
    <t>465/QĐ-SGTVT ngày 30/10/2019</t>
  </si>
  <si>
    <t>472/QĐ-SGTVT ngày 30/10/2019</t>
  </si>
  <si>
    <t>124/QĐ-UBND ngày 13/4/2020</t>
  </si>
  <si>
    <t>681/QĐ-SGTVT ngày 16/11/2020</t>
  </si>
  <si>
    <t>682/QĐ-SGTVT ngày  16/11/2020</t>
  </si>
  <si>
    <t>672/QĐ-SGTVT ngày  16/11/2020</t>
  </si>
  <si>
    <t>674/QĐ-SGTVT ngày  16/11/2020</t>
  </si>
  <si>
    <t>675/QĐ-SGTVT ngày 16/11/2020</t>
  </si>
  <si>
    <t>676/QĐ-SGTVT ngày 16/11/2020</t>
  </si>
  <si>
    <t>437/QĐ-SXD ngày 11/11/2020</t>
  </si>
  <si>
    <t>435/QĐ-SXD ngày 11/11/2020</t>
  </si>
  <si>
    <t>495/QĐ-SXD ngày 31/12/2020</t>
  </si>
  <si>
    <t>469/QĐ-SGTVT ngày  08/9/2021</t>
  </si>
  <si>
    <t>181/QĐ-UBND ngày 14/10/2020</t>
  </si>
  <si>
    <t>182/QĐ-UBND ngày 14/10/2020</t>
  </si>
  <si>
    <t>183/QĐ-UBND ngày 14/10/2020</t>
  </si>
  <si>
    <t>2290/QĐ-UBND ngày 18/10/2019</t>
  </si>
  <si>
    <t>182/QĐ-SXD ngày 28/10/2019</t>
  </si>
  <si>
    <t>188/QĐ-SXD ngày 30/10/2019</t>
  </si>
  <si>
    <t>400/QĐ-SGTVT ngày  9/10/2019</t>
  </si>
  <si>
    <t>08/QĐ-UBND ngày 13/01/2020</t>
  </si>
  <si>
    <t>01/QĐ-UBND ngày 08/01/2020</t>
  </si>
  <si>
    <t>05/QĐ-UBND ngày 09/01/2020</t>
  </si>
  <si>
    <t>22/QĐ-UBND ngày 25/3/2020</t>
  </si>
  <si>
    <t>642/QĐ-SGTVT ngày  13/11/2020</t>
  </si>
  <si>
    <t>443/QĐ-SXD ngày 13/11/2020</t>
  </si>
  <si>
    <t>394/QĐ-SGTVT ngày 28/7/2021</t>
  </si>
  <si>
    <t>58/QĐ-UBND ngày 11/12/2020</t>
  </si>
  <si>
    <t>395/QĐ-SGTVT
ngày 28/7/2021</t>
  </si>
  <si>
    <t>176/QĐ-UBND ngày 19/11/2020</t>
  </si>
  <si>
    <t>177/QĐ-UBND ngày 19/11/2020</t>
  </si>
  <si>
    <t>140/QĐ-SXD ngày 30/5/2022</t>
  </si>
  <si>
    <t>197/QĐ-SXD
ngày  31/10/2019; 258/QĐ-SXD ngày 17/6/2020</t>
  </si>
  <si>
    <t>196/QĐ-SXD 
ngày 31/10/2019</t>
  </si>
  <si>
    <t>453/QĐ-SGTVT ngày 30/10/2019</t>
  </si>
  <si>
    <t>454/QĐ-SGTVT ngày  30/10/2019</t>
  </si>
  <si>
    <t>445/QĐ-SGTVT ngày 28/10/2019</t>
  </si>
  <si>
    <t>444/QĐ-SGTVT ngày 28/10/2019</t>
  </si>
  <si>
    <t>446/QĐ-SGTVT ngày  28/10/2019</t>
  </si>
  <si>
    <t>447/QĐ-SGTVT 28/10/2019</t>
  </si>
  <si>
    <t>448/QĐ-SGTVT 28/10/2019</t>
  </si>
  <si>
    <t>198/QĐ-SXD
 31/10/2019</t>
  </si>
  <si>
    <t>64/QĐ-UBND ngày 9/4/2020</t>
  </si>
  <si>
    <t>208/QĐ-UBND ngày 31/12/2019</t>
  </si>
  <si>
    <t>127/QĐ-UBND ngày 31/12/2019</t>
  </si>
  <si>
    <t>55/QĐ-UBND ngày 13/4/2020</t>
  </si>
  <si>
    <t>658/QĐ-GTVT ngày 16/11/2020</t>
  </si>
  <si>
    <t>659/QĐ-GTVT ngày 16/11/2020</t>
  </si>
  <si>
    <t>634/QĐ-GTVT ngày 11/11/2020</t>
  </si>
  <si>
    <t>590/QĐ-GTVT ngày 19/10/2020</t>
  </si>
  <si>
    <t>655/QĐ-GTVT ngày 16/11/2020</t>
  </si>
  <si>
    <t>661/QĐ-GTVT ngày 16/11/2020; ngày 351/QĐ-SGTVT ngày 8/7/2021</t>
  </si>
  <si>
    <t>657/QĐ-GTVT ngày 16/11/2020</t>
  </si>
  <si>
    <t>629/QĐ-GTVT ngày 10/11/2020</t>
  </si>
  <si>
    <t>656/QĐ-GTVT ngày 16/11/2020</t>
  </si>
  <si>
    <t>671/QĐ-GTVT ngày 16/11/2020</t>
  </si>
  <si>
    <t>125/QĐ-SXD 
ngày 28/6/2021</t>
  </si>
  <si>
    <t>418/QĐ-SXD 
ngày 13/11/2020</t>
  </si>
  <si>
    <t>126/QĐ-SXD 
ngày 30/6/2021; 226/QĐ-SXD ngày 5/9/2022</t>
  </si>
  <si>
    <t>177/QĐ-SXD 
ngày23/6/2021</t>
  </si>
  <si>
    <t>1561/QĐ-UBND ngày 05/7/2021</t>
  </si>
  <si>
    <t>134/QĐ-SXD ngày 30/6/2021</t>
  </si>
  <si>
    <t>1563/QĐ-UBND ngày 05/7/2021</t>
  </si>
  <si>
    <t>1654/QĐ-UBND ngày 14/7/2021</t>
  </si>
  <si>
    <t>2181/QĐ-UBND ngày 13/9/2021</t>
  </si>
  <si>
    <t>1028/QĐ-UBND ngày 10/5/2021</t>
  </si>
  <si>
    <t>535/QĐ-UBND ngày 19/3/2021</t>
  </si>
  <si>
    <t>1024/QĐ-UBND ngày 10/5/2021</t>
  </si>
  <si>
    <t>2367/QĐ-UBND ngày 28/10/2019</t>
  </si>
  <si>
    <t>158/QĐ-SXD ngày 04/10/2019; 216/QĐ-UBND ngày 06/5/2020</t>
  </si>
  <si>
    <t>2424/QĐ-UBND ngày 31/10/2019</t>
  </si>
  <si>
    <t>192/QĐ-SXD ngày 31/10/2019</t>
  </si>
  <si>
    <t>2526/QĐ-SGTVT ngày 30/9/2016; 41/QĐ-SGTVT ngày 17/01/2020</t>
  </si>
  <si>
    <t>436/QĐ-SGTVT 28/10/2019</t>
  </si>
  <si>
    <t>457/QĐ-SGTVT ngày  30/10/2019</t>
  </si>
  <si>
    <t>460/QĐ-SGTVT ngày 30/10/2019</t>
  </si>
  <si>
    <t>463/QĐ-SGTVT ngày  30/10/2019</t>
  </si>
  <si>
    <t>466/QĐ-SGTVTngày  30/10/2019</t>
  </si>
  <si>
    <t>12/QĐ-UBND ngày 15/3/2020</t>
  </si>
  <si>
    <t>36/QĐ-UBND ngày 20/3/2020</t>
  </si>
  <si>
    <t>14/QĐ-UBND ngày 24/3/2020</t>
  </si>
  <si>
    <t>641/QĐ-SGTVT ngày  13/11/2020</t>
  </si>
  <si>
    <t>465/QĐ-SGTVT ngày 08/09/2020</t>
  </si>
  <si>
    <t>449/QĐ-SGTVT ngày  01/09/2020</t>
  </si>
  <si>
    <t>640/QĐ-SGTVT ngày   13/11/2020</t>
  </si>
  <si>
    <t>422/QĐ-SXD ngày 13/11/2020</t>
  </si>
  <si>
    <t>2974/QĐ-UBND ngày 13/11/2020</t>
  </si>
  <si>
    <t>2973/QĐ-UBND ngày 13/11/2020</t>
  </si>
  <si>
    <t>331/QĐ-SGTVT ngày  10/5/2022</t>
  </si>
  <si>
    <t>132/QĐ-UBND ngày 19/12/2019</t>
  </si>
  <si>
    <t>140/QĐ-UBND ngày 25/12/2019</t>
  </si>
  <si>
    <t>19/QĐ-UBND ngày 15/01/2020</t>
  </si>
  <si>
    <t>203/QĐ-UBND ngày 20/12/2019</t>
  </si>
  <si>
    <t>52/QĐ-UBND ngày 30/12/2019</t>
  </si>
  <si>
    <t>01/QĐ-UBND ngày 02/1/2020</t>
  </si>
  <si>
    <t>1025/QĐ-SGTVT ngày 10/05/2017</t>
  </si>
  <si>
    <t>2625/QĐ-SGTVT ngày 31/10/2017</t>
  </si>
  <si>
    <t>1008/QĐ-SGTVT ngày 09/05/2017</t>
  </si>
  <si>
    <t>56/QĐ-UBND ngày 4/5/2023</t>
  </si>
  <si>
    <t>377/QĐ-UBND ngày 03/03/2023</t>
  </si>
  <si>
    <t>1753/QĐ-UBND ngày 11/08/2022</t>
  </si>
  <si>
    <t>2634/QĐ-SGTVT ngày 31/10/2017;
100/QĐ-STC ngày 23/7/2021</t>
  </si>
  <si>
    <t>2018/QĐ-UBND ngày 24/8/2021</t>
  </si>
  <si>
    <t>2614/QĐ-UBND ngày 31/10/2017</t>
  </si>
  <si>
    <t>133/QĐ-STC ngày 24/10/2019</t>
  </si>
  <si>
    <t>852/QĐ-SGTVT ngày 31/3/2016</t>
  </si>
  <si>
    <t>2331/UBND-TCĐT ngày 04/5/2021</t>
  </si>
  <si>
    <t>255a/QĐ-BQLDANN ngày  30/10/2020</t>
  </si>
  <si>
    <t>175/QĐ-SXD ngày 31/10/2018</t>
  </si>
  <si>
    <t>63/QĐ-STC ngày 28/5/2021</t>
  </si>
  <si>
    <t>4012/QĐ-UBND ngày 14/7/2021</t>
  </si>
  <si>
    <t>1109/QĐ-UBND ngày  20/5/2021</t>
  </si>
  <si>
    <t>454/QĐ-SGTVT ngày 30/10/2019</t>
  </si>
  <si>
    <t>661/QĐ-GTVT ngày 16/11/2020; 351/QĐ-SGTVT ngày 8/7/2021</t>
  </si>
  <si>
    <t>2560/QĐ-UB ngày 27/10/2016</t>
  </si>
  <si>
    <t>Phụ lục I</t>
  </si>
  <si>
    <t>Phụ lục II</t>
  </si>
  <si>
    <t>Phụ lục II.a</t>
  </si>
  <si>
    <t>Phụ lục II.c</t>
  </si>
  <si>
    <t>Đầu tư kết cấu hạ tầng và trang thiết bị phục vụ chế biến sản phẩm Hợp tác xã nông nghiệp Phú Ngãi - Ba Tri</t>
  </si>
  <si>
    <t>Đầu tư kết cấu hạ tầng và trang thiết bị phục vụ chế biến sản phẩm Hợp tác xã nông nghiệp Thắng Lợi - Chợ Lách</t>
  </si>
  <si>
    <t>Đầu tư trang thiết bị phục vụ chế biến sản phẩm Hợp tác xã Phước Mỹ Trung - Mỏ Cày Bắc</t>
  </si>
  <si>
    <t>Quỹ phát triển đất của Tỉnh; Đầu tư phát triển quỹ đất và đo đạc bản đồ địa chính</t>
  </si>
  <si>
    <t>Đường từ cầu Đập xã Hưng Nhượng đến bến đò xã Hưng Lễ đi huyện Thạnh Phú (ĐT.DK.04)</t>
  </si>
  <si>
    <t>1582/QĐ-UBND ngày 08/7/2021</t>
  </si>
  <si>
    <t xml:space="preserve">644/QĐ-SGTVT ngày 16/11/2020 </t>
  </si>
  <si>
    <t>Bổ sung danh mục và kế hoạch vốn do tuyến đường đã xuống cấp nặng, cần thiết phải đầu tư</t>
  </si>
  <si>
    <t>ĐIỀU CHỈNH, BỔ SUNG KẾ HOẠCH ĐẦU TƯ CÔNG TRUNG HẠN GIAI ĐOẠN 2021 - 2025 NGUỒN ĐẦU TƯ TRONG CÂN ĐỐI CÂN ĐỐI NGÂN SÁCH ĐỊA PHƯƠNG (BAO GỒM VỐN ĐẦU TƯ TRONG CÂN ĐỐI THEO TIÊU CHÍ, ĐỊNH MỨC QUY ĐỊNH TẠI QUYẾT ĐỊNH SỐ 26/2020/QĐ-TTG, VỐN ĐẦU TƯ TỪ NGUỒN THU SỬ DỤNG ĐẤT, VỐN ĐẦU TƯ TỪ NGUỒN TĂNG THU SỬ DỤNG ĐẤT,  VỐN ĐẦU TƯ TỪ NGUỒN TĂNG THU NGÂN SÁCH ĐỊA PHƯƠNG, VỐN ĐẦU TƯ TỪ NGUỒN BỘI CHI NGÂN SÁCH ĐỊA PHƯƠNG)</t>
  </si>
  <si>
    <t>2101/QĐ-UBND ngày 04/10/2018</t>
  </si>
  <si>
    <t>2346/QĐ-SXD ngày 31/10/2018</t>
  </si>
  <si>
    <t xml:space="preserve">2838/QĐ-UBND ngày 30/10/2020 </t>
  </si>
  <si>
    <t xml:space="preserve"> 1612/QĐ-UBND ngày 26/7/2022</t>
  </si>
  <si>
    <t>590/QĐ-UBND 24/3/2023</t>
  </si>
  <si>
    <t>Đầu tư kết cấu hạ tầng phục vụ chế biến sản phẩm Hợp tác xã nông nghiệp Bưởi da xanh Bến Tre - Châu Thành</t>
  </si>
  <si>
    <t>Trường TH-THCS Nguyễn Văn Khá, xã Tiên Long</t>
  </si>
  <si>
    <t>Mở rộng tuyến ống nước từ NMN Thạnh Phú để cấp nước cho 02 xã Bình Thạnh và xã An Thuận, huyện Thạnh Phú</t>
  </si>
  <si>
    <t>ĐIỀU CHỈNH, BỔ SUNG KẾ HOẠCH ĐẦU TƯ CÔNG TRUNG HẠN NGUỒN VỐN NGÂN SÁCH NHÀ NƯỚC TỈNH BẾN TRE GIAI ĐOẠN 2021 - 2025 TỪ NGUỒN THU XỔ SỐ KIẾN THIẾT VÀ NGUỒN TĂNG THU XỔ SỐ KIẾN THIẾT ĐỂ BỐ TRÍ THANH TOÁN KHỐI LƯỢNG, 
QUYẾT TOÁN,  TẤT TOÁN CÁC DỰ ÁN HOÀN THÀNH</t>
  </si>
  <si>
    <t>ĐIỀU CHỈNH, BỔ SUNG KẾ HOẠCH ĐẦU TƯ CÔNG TRUNG HẠN NGUỒN VỐN NGÂN SÁCH NHÀ NƯỚC TỈNH BẾN TRE GIAI ĐOẠN 2021 - 2025 
TỪ NGUỒN THU XỔ SỐ KIẾN THIẾT HỖ TRỢ ĐẦU TƯ CSVC, MUA SẮM TRANG THIẾT BỊ DẠY HỌC THUỘC KẾ HOẠCH SỐ 1658/KH-UBND NGÀY 10/4/2019
 VỀ CHƯƠNG TRÌNH SÁCH GIÁO KHOA GIÁO DỤC PHỔ THÔNG MỚI TỪ NĂM HỌC 2020-2021 ĐẾN NĂM HỌC 2024-2025</t>
  </si>
  <si>
    <t>Trạm biên phòng cửa khẩu Cảng Giao Long</t>
  </si>
  <si>
    <t>753/QĐ-SXD, 
ngày 10/4/2023</t>
  </si>
  <si>
    <t>Nâng cấp trụ sở UBND xã; sửa chữa HTVH xã thành NVH đa năng và XD  mới 05 PCN</t>
  </si>
  <si>
    <t>Sửa chữa trụ sở UBND xã; sửa chữa HTVH xã thành NVH đa năng và XD  mới 05 PCN</t>
  </si>
  <si>
    <t>Hạng mục cầu, biển báo, cọc tiêu</t>
  </si>
  <si>
    <t>Xây dựng trụ sở UBND xã, hội trường văn hóa đa năng, HMP</t>
  </si>
  <si>
    <t>Sửa chữa trụ sở UBND xã; Nâng cấp, mở rộng hội trường VHX thành Nhà văn hóa đa năng và xây dựng mới 05 PCN, HMP</t>
  </si>
  <si>
    <t>Sửa chữa trụ sở UBND xã; Nâng cấp  hội trường VHX thành Nhà văn hóa đa năng và xây dựng mới 05 PCN, HMP</t>
  </si>
  <si>
    <t>1 cầu</t>
  </si>
  <si>
    <t>cầu BTCT dài 21,7m</t>
  </si>
  <si>
    <t>xây dựng HT đa năng, HMP</t>
  </si>
  <si>
    <t xml:space="preserve">Xây nhà làm việc UBND xã, nhà làm việc CA, QS, hạng mục phụ </t>
  </si>
  <si>
    <t xml:space="preserve">Xây nhà làm việc UBND xã, nhà làm việc CA, hạng mục phụ </t>
  </si>
  <si>
    <t>Cải tạo, sửa chữa trụ sở Ủy ban nhân dân xã, HMP</t>
  </si>
  <si>
    <t>xây dựng nhà làm việc trụ sở, hội trường văn hóa đa năng, HMP</t>
  </si>
  <si>
    <t>Xây dựng cầu BTCT</t>
  </si>
  <si>
    <t>Xây dựng trụ sở UBND xã, HMP</t>
  </si>
  <si>
    <t xml:space="preserve">Hạng mục cầu, cống </t>
  </si>
  <si>
    <t>sửa chữa trụ sở, các HMP</t>
  </si>
  <si>
    <t>xây dựng trụ sở UBND xã, hạng mục phụ</t>
  </si>
  <si>
    <t xml:space="preserve"> sửa chữa trụ sở UBND xã và xây dựng mới Hội trường văn hóa xã, các PCN, HMP</t>
  </si>
  <si>
    <t>Xây dựng 02 cống</t>
  </si>
  <si>
    <t>Xây mới hội trường văn hóa xã và các PCN, HMP</t>
  </si>
  <si>
    <t>Hạng mục cầu, cống, cọc tiêu, biển báo</t>
  </si>
  <si>
    <t>Hạng mục cống, cọc tiêu, biển báo</t>
  </si>
  <si>
    <t>Xây dựng mới Trụ sở UBND xã , HMP</t>
  </si>
  <si>
    <t xml:space="preserve">Cải tạo, sửa chữa trụ sở UBND xã, HMP </t>
  </si>
  <si>
    <t>Xây dựng trụ  sở UBND xã , HMP</t>
  </si>
  <si>
    <t>Xây dựng trụ sở UBND xã, hội trường đa năng và các phòng chức năng</t>
  </si>
  <si>
    <t xml:space="preserve">Xây dựng mới Trụ sở Ủy ban nhân dân xã; Cải tạo NVH xã và xây dựng 05 PCN </t>
  </si>
  <si>
    <t>Xây mới Trụ sở UBND xã, HTVH  xã, các PCN, HMP</t>
  </si>
  <si>
    <t>Trụ sở UBND xã, nhà làm việc CA, cải tạo hội trường, HMP</t>
  </si>
  <si>
    <t>2942/QĐ-UBND ngày 10/11/2020, 2445/QĐ-UBND, ngày 18/10/2021</t>
  </si>
  <si>
    <t>xây dựng 2 cầu BTCT</t>
  </si>
  <si>
    <t>Cải tạo Hội trường Văn hóa xã và cải tạo trụ sở UBND xã cũ thành các PCN</t>
  </si>
  <si>
    <t>2022 - 2024</t>
  </si>
  <si>
    <t>173/QĐ-SXD,ngày  14/10/2021</t>
  </si>
  <si>
    <t>trụ sở UBND xã, nhà làm việc CA, QS, HMP</t>
  </si>
  <si>
    <t>Xây dựng mới trụ sở UBND xã; Nhà văn hóa đa năng và các PCN, HMP</t>
  </si>
  <si>
    <t xml:space="preserve">Hạng mục cầu, biển báo </t>
  </si>
  <si>
    <t>Hạng mục cầu, cống, biển báo</t>
  </si>
  <si>
    <t>Hạng mục cầu, biển báo</t>
  </si>
  <si>
    <t>xây dựng trụ sở UBND xã, nhà làm việc quân sự</t>
  </si>
  <si>
    <t xml:space="preserve">Hạng mục cầu, cống, biển báo, cọc tiêu </t>
  </si>
  <si>
    <t xml:space="preserve">Hạng mục cầu, cọc tiêu, biển báo </t>
  </si>
  <si>
    <t xml:space="preserve">Hạng mục cống, cọc tiêu, biển báo </t>
  </si>
  <si>
    <t xml:space="preserve">Hạng mục cầu,  biển báo, cọc tiêu </t>
  </si>
  <si>
    <t>sửa chữa trụ sở UBND xã, HMP</t>
  </si>
  <si>
    <t>Nâng cấp, sửa chữa</t>
  </si>
  <si>
    <t>Lũy kế bố trí vốn kế hoạch trung hạn năm 2021 - 2024</t>
  </si>
  <si>
    <t>Kế hoạch đầu tư công trung hạn giai đoạn từ năm 2021 đến năm 2025</t>
  </si>
  <si>
    <t>Vốn đầu tư từ nguồn tăng thu tiết kiệm chi</t>
  </si>
  <si>
    <t xml:space="preserve">Hoàn thiện hồ sơ địa chính và xây dựng cơ sở dữ liệu địa chính trên địa bàn 06 xã thuộc thành phố Bến Tre </t>
  </si>
  <si>
    <t>1088/QĐ-UBND ngày 18/5/2021</t>
  </si>
  <si>
    <t>Đầu tư, mở rộng bãi rác An Hiệp, huyện Ba Tri (giai đoạn 2)</t>
  </si>
  <si>
    <t>Xây dựng hạ tầng kỹ thuật phục vụ mở rộng Nhà máy xử lý rác thải Bến Tre</t>
  </si>
  <si>
    <t>623/QĐ-UBND ngày 01/4/2024</t>
  </si>
  <si>
    <t>Đầu tư xây dựng Cầu Đình Khao nối hai tỉnh Vĩnh Long và Bến Tre theophương thức đối tác công tư</t>
  </si>
  <si>
    <t>Xây dựng mới cầu Mỹ Thạnh, huyện Giồng Trôm</t>
  </si>
  <si>
    <t>Đối ứng thực hiện giải phóng mặt bằng trên địa bàn tỉnh Bến Tre</t>
  </si>
  <si>
    <t>Cải tạo, mở rộng Khoa Nội A - Bệnh viện Nguyễn Đình Chiểu</t>
  </si>
  <si>
    <t>Đầu tư hệ thống xử lý chất thải rắn - Bệnh viện Nguyễn Đình Chiểu</t>
  </si>
  <si>
    <t>Dự án Bảo tồn, tôn tạo và phát huy giá trị lịch sử đường Hồ Chí Minh trên biển (giai đoạn 2)</t>
  </si>
  <si>
    <t>487/QĐ-UBND ngày 20/3/2024</t>
  </si>
  <si>
    <t>Đối ứng vốn hỗ trợ của UBND thành phố Hà Nội</t>
  </si>
  <si>
    <t>Trường Tiểu học Lê Hoàng Chiếu, xã Phú Vang, huyện Bình Đại</t>
  </si>
  <si>
    <t>Trường Tiểu học 2 Thị trấn, huyện Mỏ Cày Nam</t>
  </si>
  <si>
    <t>Trường THCS Thạnh Ngãi, huyện Mỏ Cày Bắc</t>
  </si>
  <si>
    <t>1222/QĐ-UBND ngày 03/6/2024</t>
  </si>
  <si>
    <t>503/QĐ-UBND ngày 15/3/2021</t>
  </si>
  <si>
    <t>2960/QĐ-UBND ngày 20/12/2021</t>
  </si>
  <si>
    <t xml:space="preserve">Dự án mua sắm thiết bị dùng chung cho các trường Tiểu học, THCS, THPT và Trung tâm GDNN-GDTX các huyện, thành phố </t>
  </si>
  <si>
    <t>Đầu tư xây dựng nhà công vụ</t>
  </si>
  <si>
    <t>Khu hành chính xã Bình Thắng, huyện Bình Đại</t>
  </si>
  <si>
    <t>Khu hành chính xã Phú Đức, huyện Châu Thành</t>
  </si>
  <si>
    <t>Khu hành chính thị trấn Phước Mỹ Trung</t>
  </si>
  <si>
    <t>1669/QĐ-UBND
ngày 16/07/2021</t>
  </si>
  <si>
    <t>Bố trí hoàn thành trong giai đoạn 2021-2025</t>
  </si>
  <si>
    <t>Lũy kế vốn ngân sách tỉnh đã bố trí đến hết kế hoạch năm 2024</t>
  </si>
  <si>
    <t>Ghi chú
(Lý do điều chỉnh tăng/giảm)</t>
  </si>
  <si>
    <t>Điều chỉnh kế hoạch đầu tư công trung hạn
 giai đoạn từ năm 2021 đến năm 2025
(Điều chỉnh lần 1 năm 2023)</t>
  </si>
  <si>
    <t xml:space="preserve">Tổng </t>
  </si>
  <si>
    <t>7903715</t>
  </si>
  <si>
    <t>7903548</t>
  </si>
  <si>
    <t>7945340</t>
  </si>
  <si>
    <t>Dự án hoàn thành hết nhu cầu vốn của tỉnh</t>
  </si>
  <si>
    <t>100/QĐ-SXD ngày 20/6/2024</t>
  </si>
  <si>
    <t>348/QĐ-XSD ngày 29/12/2023</t>
  </si>
  <si>
    <t xml:space="preserve">Dự án hoàn thành hết nhu cầu vốn </t>
  </si>
  <si>
    <t>7870789</t>
  </si>
  <si>
    <t>7944671</t>
  </si>
  <si>
    <t>265/QĐ-SXD 
ngày 07/02/2024</t>
  </si>
  <si>
    <t>7955825</t>
  </si>
  <si>
    <t>Sửa chữa Hội trường thành Nhà văn hóa xã</t>
  </si>
  <si>
    <t>319/QĐ-SXD ngày 23/12/2022</t>
  </si>
  <si>
    <t>325/QĐ-SXD ngày 26/12/2022</t>
  </si>
  <si>
    <t>333/QĐ-SXD ngày 28/12/2022</t>
  </si>
  <si>
    <t>Giảm giá trong đấu thầu và dự phòng phí</t>
  </si>
  <si>
    <t>218/QĐ-SXD ngày 17/12/2021; 
45/QĐ-SXD ngày 01/4/2024</t>
  </si>
  <si>
    <t>624/QĐ-UBND ngày 28/3/2023</t>
  </si>
  <si>
    <t>1304/QĐ-UBND ngày 20/6/2023</t>
  </si>
  <si>
    <t>3052/QĐ-UBND ngày 28/12/2023</t>
  </si>
  <si>
    <t>339/QĐ-SXD ngày 25/12/2023</t>
  </si>
  <si>
    <t>305/QĐ-UBND 
ngày 16/02/2024</t>
  </si>
  <si>
    <t>608/QĐ-SGTVT ngày 06/12/2023</t>
  </si>
  <si>
    <t>7918258</t>
  </si>
  <si>
    <t>7946741</t>
  </si>
  <si>
    <t>2613/QĐ-UBND ngày 13/11/2023</t>
  </si>
  <si>
    <t xml:space="preserve">334/QĐ-SXD ngày 20/12/2023 </t>
  </si>
  <si>
    <t>99/QĐ-SXD ngày 19/5/2021; 319/QĐ-SXD ngày 06/12/2023</t>
  </si>
  <si>
    <t>336/QĐ-SXD ngày 25/12/2023</t>
  </si>
  <si>
    <t>311/QĐ-SXD ngày 04/12/2023</t>
  </si>
  <si>
    <t>Lũy kế bố trí vốn đến kế hoạch năm 2024</t>
  </si>
  <si>
    <t>Dự án hoàn thành trong năm 2024, hết nhu cầu sử dụng vốn</t>
  </si>
  <si>
    <t>Dự án dừng thực hiện theo chủ trương số 3537/UBND-TCĐT ngày 05/6/2024 của Ủy ban nhân dân tỉnh</t>
  </si>
  <si>
    <t>Dự án giãn tiến độ thực hiện để giải quyết vướng mắc trong công tác GPMB theo công văn số 3521/UBND-TCĐT ngày 04/6/2024 của Ủy ban nhân dân tỉnh</t>
  </si>
  <si>
    <t>BỔ SUNG NGÂN SÁCH ĐỊA PHƯƠNG ĐỂ ỦY THÁC QUA NGÂN HÀNG CHÍNH SÁCH XÃ HỘI - CHI NHÁNH TỈNH BẾN TRE</t>
  </si>
  <si>
    <t>Vốn cân đối Ngân sách cấp tỉnh</t>
  </si>
  <si>
    <t>Bố trí vốn thực hiện công tác lập, thẩm định, quyết định hoặc phê duyệt công bố, điều chỉnh quy hoạch (bao gồm quy hoạch có tính chất kỹ thuật chuyên ngành)</t>
  </si>
  <si>
    <t>Đồ án quy hoạch phân khu xây dựng Khu công nghiệp An Nhơn, huyện Thạnh Phú</t>
  </si>
  <si>
    <t>Quy hoạch chi tiết xây dựng tỷ lệ 1/500 Cụm công nghiệp Đìa Dứa, xã An Định, huyện Mỏ Cày Nam</t>
  </si>
  <si>
    <t>Quy hoạch phân khu khu đô thị số 7, thành phố Bến Tre</t>
  </si>
  <si>
    <t>Quy hoạch phân khu khu đô thị số 8, thành phố Bến Tre</t>
  </si>
  <si>
    <t>Đồ án quy hoạch phân khu tỷ lệ 1/2000 Khu du lịch Cồn Tân Mỹ, huyện Châu Thành</t>
  </si>
  <si>
    <t>Quy hoạch chung đô thị xã An Thới</t>
  </si>
  <si>
    <t>Quy hoạch phân khu đô thị Mỏ Cày. (Rà soát điều chỉnh 02 phân khu cũ + phần mở rộng)</t>
  </si>
  <si>
    <t>Quy hoạch chi tiết khu trung tâm đô thị thị trấn Hương Mỹ</t>
  </si>
  <si>
    <t>Quy hoạch chi tiết khu trung tâm đô thị An Định</t>
  </si>
  <si>
    <t>Quy hoạch chi tiết trung tâm xã Thành Thới A</t>
  </si>
  <si>
    <t>Quy hoạch chi tiết trung tâm xã Thành Thới B</t>
  </si>
  <si>
    <t xml:space="preserve">Lập Quy hoạch chi tiết 1/500 cụm công nghiệp Sơn Quy - Thị trấn </t>
  </si>
  <si>
    <t>Bố trí đủ vốn NSTW</t>
  </si>
  <si>
    <t>LĨNH VỰC CÔNG CỘNG - TÀI NGUYÊN VÀ MÔI TRƯỜNG</t>
  </si>
  <si>
    <t>Đ</t>
  </si>
  <si>
    <t>Tu bổ, tôn tạo Di tích kiến trúc nghệ thuật Đình Phú Lễ</t>
  </si>
  <si>
    <t>Dự án hoàn thành trong giai đoạn</t>
  </si>
  <si>
    <t>Hoàn thành trong giai đoạn 2021-2025</t>
  </si>
  <si>
    <t>Đầu tư đủ từ nguồn NSTW</t>
  </si>
  <si>
    <t>Dự án hoàn thành, hết nhu cầu vốn</t>
  </si>
  <si>
    <t>Bổ sung vốn khởi công mới giai đoạn 2021-2025</t>
  </si>
  <si>
    <t>Chưa hoàn tât thủ tục đầu tư</t>
  </si>
  <si>
    <t>Hệ thống thoát nước mặt Khu công nghiệp Giao Long, huyện Châu Thành</t>
  </si>
  <si>
    <t>Mua sắm trang thiết bị cho 03 Trung tâm y tế huyện Mỏ Cày Bắc, huyện Bình Đại và huyện Ba Tri</t>
  </si>
  <si>
    <t xml:space="preserve">Dự án mua sắm thiết bị dạy học tối thiểu lớp 4, 5 cho các trường Tiểu học </t>
  </si>
  <si>
    <t xml:space="preserve">Dự  án  mua  sắm  thiết  bị  dạy  học  tối  thiểu  lớp  8, 9  cho  các  trường Trung học cơ sở </t>
  </si>
  <si>
    <t xml:space="preserve">Dự án mua sắm thiết bị dạy học tối thiểu lớp 11, 12 cho các trường THPT </t>
  </si>
  <si>
    <t>Bổ sung vốn để thanh toán cho các nhiệm vụ lập quy hoạch do chuyển nguồn từ chi thường xuyên sang chi đầu tư công</t>
  </si>
  <si>
    <t>Dự án bức xúc, bổ sung vốn khởi công mới giai đoạn 2021-2025</t>
  </si>
  <si>
    <t>Cải tạo nâng cấp Khu chôn lấp rác tại Bãi rác Phú Hưng</t>
  </si>
  <si>
    <t>Giảm vốn do dự án chưa triển khai</t>
  </si>
  <si>
    <t>Khắc phục sụp lún bờ kè bảo vệ bờ biển khu vực Cồn Bửng, xã Thạnh Hải, huyện Thạnh Phú, tỉnh Bến Tre</t>
  </si>
  <si>
    <t>1221/QĐ-UBND ngày 03/6/2024</t>
  </si>
  <si>
    <t>Đầu tư hệ thống thang máy tại liên Khoa ngoại tổng quát, chấn thương chỉnh hình - phục hồi chức năng, ung bướu, mắt, răng - hàm - mặt của Bệnh viện Nguyễn Đình Chiểu</t>
  </si>
  <si>
    <t>Đầu tư hệ thống máy lạnh và cải tạo, sửa chữa dãy phòng mổ lầu 5 khu F1, F2 của Bệnh viện Nguyễn Đình Chiểu</t>
  </si>
  <si>
    <t>Dự án cải tạo hệ thống xử lý nước thải hiện hữu, lắp đặt hệ thống quan trắc nước thải tự động, liên tục tại Bệnh viện Nguyễn Đình Chiểu</t>
  </si>
  <si>
    <t>Tu bổ, tôn tạo di tích lịch sử chùa Tuyên Linh</t>
  </si>
  <si>
    <t>Dự án cấp thiết phục vụ hoán đổi đất, hoàn trả cho chùa Tuyên Linh</t>
  </si>
  <si>
    <t xml:space="preserve">Dự án được sử dụng các nguồn vốn của ngân sách địa phương trong trung hạn 2021-2025 </t>
  </si>
  <si>
    <t>Dự án Mở rộng kho vũ khí đạn - Bộ Chỉ huy quân sự tỉnh Bến Tre</t>
  </si>
  <si>
    <t>Bổ sung vốn thực hiện hoàn thành giai đoạn 2021-2025</t>
  </si>
  <si>
    <t>Bổ sung vốn cho dự án thực hiện hoàn thành giai đoạn 2021-2025</t>
  </si>
  <si>
    <t>Dự án bức xúc, bố trí vốn thực hiện giai đoạn 2021-2025</t>
  </si>
  <si>
    <t>Bổ sung vốn thực hiện dự án</t>
  </si>
  <si>
    <t>Điều chỉnh giảm nguồn thu sử dụng đất tại mục này. Trong đó: Dành tối thiểu 10% cho công tác đo đạc bản đồ địa chính theo quy định (Hoàn thiện hồ sơ địa chính và xây dựng cơ sở dữ liệu địa chính trên địa bàn 06 xã thuộc thành phố Bến Tre); một phần trích lập Quỹ phát triển đất của tỉnh (Thực hiện trích lập trong năm 2021, 2022); phần còn lại dành cho đầu tư phát triển quỹ đất (Hỗ trợ các dự án Khu Tái định cư dự án cầu Rạch Miễu 2 và đường gom vào cầu Rạch Miễu 2, huyện Châu Thành và thành phố Bến Tre). Các cấp thực hiện theo Nghị quyết số 24/2020/NQ-HĐND ngày 09/12/2020 của Hội đồng nhân dân tỉnh</t>
  </si>
  <si>
    <t>XI</t>
  </si>
  <si>
    <t>Khu Tái định cư dự án cầu Rạch Miễu 2 và đường gom vào cầu Rạch Miễu 2, huyện Châu Thành</t>
  </si>
  <si>
    <t>Khu Tái định cư dự án cầu Rạch Miễu 2 và đường gom vào cầu Rạch Miễu 2</t>
  </si>
  <si>
    <t>1944/QĐ-UBND ngày 18/4/2022</t>
  </si>
  <si>
    <t>1548/QĐ-UBND ngày 28/4/2022</t>
  </si>
  <si>
    <t>Đường ĐX.02 xã Tân Thanh, huyện Giồng Trôm</t>
  </si>
  <si>
    <t>Đường ĐX.04 xã Long Mỹ, huyện Giồng Trôm</t>
  </si>
  <si>
    <t>Đồ án Điều chỉnh tổng thể quy hoạch chung đô thị thị trấn Tiệm Tôm, huyện Ba Tri giai đoạn đến năm 2035</t>
  </si>
  <si>
    <t>Đồ án Điều chỉnh tổng thể quy hoạch chung xây dựng đô thị thị trấn Thạnh Phú, huyện Thạnh Phú, tỉnh Bến Tre, giai đoạn đến năm 2045</t>
  </si>
  <si>
    <t>Đồ án Điều chỉnh tổng thể quy hoạch chung xây dựng đô thị xã Giao Thạnh, huyện Thạnh Phú giai đoạn đến năm 2035</t>
  </si>
  <si>
    <t>Đồ án Điều chỉnh tổng thể quy hoạch chung xây dựng đô thị thị trấn Chợ Lách, huyện Chợ Lách giai đoạn đến năm 2045</t>
  </si>
  <si>
    <t>Đồ án Điều chỉnh tổng thể quy hoạch chung xây dựng đô thị thị trấn Châu Thành, huyện Châu Thành, giai đoạn đến năm 2045</t>
  </si>
  <si>
    <t>Đồ án Điều chỉnh tổng thể quy hoạch chung xây dựng đô thị thị trấn Tiên Thủy, huyện Châu Thành, giai đoạn đến năm 2035</t>
  </si>
  <si>
    <t>Đồ án Điều chỉnh tổng thể quy hoạch chung xây dựng đô thị xã Quới Sơn, huyện Châu Thành, giai đoạn đến năm 2035</t>
  </si>
  <si>
    <t>Đồ án Điều chỉnh tổng thể quy hoạch chung xây dựng đô thị thị trấn Giồng Trôm, huyện Giồng Trôm giai đoạn đến năm 2045</t>
  </si>
  <si>
    <t>Quy hoạch phân khu xây dựng tỷ lệ 1/2000 khu du lịch Cồn cái Gà, huyện Chợ Lách</t>
  </si>
  <si>
    <t>Quy hoạch bảo quản, tu bổ, phục hồi di tích Quốc gia đặc biệt Mộ và Khu lưu niệm Nguyễn Đình Chiểu</t>
  </si>
  <si>
    <t>Quy hoạch bảo quản, tu bổ, phục hồi di tích Quốc gia đặc biệt Đồng Khởi Bến Tre</t>
  </si>
  <si>
    <t>Đồ án quy hoạch phân khu tỷ lệ 1/2000  Đề án làng dừa, huyện Mỏ Cày Nam</t>
  </si>
  <si>
    <t>Đồ án quy hoạch chi tiết khu chức năng dịch vụ hỗ trợ sản xuất</t>
  </si>
  <si>
    <t>Hết nhu cầu sử dụng vốn</t>
  </si>
  <si>
    <t>Đầu tư phát triển quỹ đất và đo đạc bản đồ địa chính (bù đắp hụt thu nguồn sử dụng đất cấp tỉnh năm 2023)</t>
  </si>
  <si>
    <t>Đập tạm Thành Triệu</t>
  </si>
  <si>
    <t>7907205</t>
  </si>
  <si>
    <t>433/QĐ-SNN ngày 28/6/2021</t>
  </si>
  <si>
    <t>Củng cố, nâng cấp và bổ sung khép kín tuyến đê biển huyện Bình Đại, tỉnh Bến Tre (Đoạn từ Cống Bến Đình đến Cống Bà Nhật)</t>
  </si>
  <si>
    <t>7836225</t>
  </si>
  <si>
    <t xml:space="preserve"> 2792/QĐ-UBND ngày 06/12/2022</t>
  </si>
  <si>
    <t>Trường Trung học cơ sở thành phố Bến Tre</t>
  </si>
  <si>
    <t>7579280</t>
  </si>
  <si>
    <t>Tượng đài đánh tàu trên sông Giồng Trôm (giai đoạn 2)</t>
  </si>
  <si>
    <t>7787471</t>
  </si>
  <si>
    <t>Sở VHTTDL</t>
  </si>
  <si>
    <t>2020</t>
  </si>
  <si>
    <t>161/QĐ-STC ngày 24/10/2022</t>
  </si>
  <si>
    <t>Xây dựng tuyến ống cấp nước khu vực Cù Lao Long Thành xã Sơn Phú và Hưng Phong, huyện Giồng Trôm</t>
  </si>
  <si>
    <t>Dự án xói lở bờ biển khu vực Cồn Lợi, xã Thạnh Hải, huyện Thạnh Phú</t>
  </si>
  <si>
    <t>Cải tạo, nâng cấp trụ sở UBND xã và XDM các công trình phụ xã Sơn Định  phụ trợ xã Sơn Định</t>
  </si>
  <si>
    <t>Đường HL.33 xã Hòa Nghĩa, Huyện Chợ Lách</t>
  </si>
  <si>
    <t>Trung tâm Y tế huyện Thạnh Phú</t>
  </si>
  <si>
    <t>Trường Tiểu học Quới Điền</t>
  </si>
  <si>
    <t>7852719</t>
  </si>
  <si>
    <t>7869069</t>
  </si>
  <si>
    <t>Ban NNPTNT</t>
  </si>
  <si>
    <t>229/QĐ-SXD, 31/12/2021</t>
  </si>
  <si>
    <t>1807/QĐ-UBND ngày 29/7/2020</t>
  </si>
  <si>
    <t>2013-2014</t>
  </si>
  <si>
    <t>1802/QĐ-UBND ngày 05/8/2016</t>
  </si>
  <si>
    <t>2017-2018</t>
  </si>
  <si>
    <t>83/QĐ-STC ngày 30/7/2020</t>
  </si>
  <si>
    <t>2011-2012</t>
  </si>
  <si>
    <t>1636/QĐ-UBND ngày 15/7/2016</t>
  </si>
  <si>
    <t>Dự án  hoàn thành đã quyết toán nhưng chưa tất toán</t>
  </si>
  <si>
    <t>(Kèm theo Nghị quyết số        /2024/NQ-HĐND ngày       tháng  10 năm 2024 của Hội đồng nhân dân tỉnh Bến Tre)</t>
  </si>
  <si>
    <t>(Kèm theo Nghị quyết số             /2024/NQ-HĐND ngày    tháng    năm 2024 của Hội đồng nhân dân tỉnh Bến Tre)</t>
  </si>
  <si>
    <t>(Kèm theo Nghị quyết số               / 2024/NQ-HDND ngày       tháng     năm 2024 của Hội đồng nhân dân tỉnh Bến Tre)</t>
  </si>
  <si>
    <t>(Kèm theo Nghị quyết số                /2024/NQ-HDND ngày       tháng     năm 2024 của Hội đồng nhân dân tỉnh Bến Tre)</t>
  </si>
  <si>
    <t>Vốn đầu tư từ nguồn thu kết dư ngân sách năm 2020</t>
  </si>
  <si>
    <t>ĐIỀU CHỈNH, BỔ SUNG KẾ HOẠCH ĐẦU TƯ CÔNG TRUNG HẠN NGUỒN VỐN NGÂN SÁCH NHÀ NƯỚC TỈNH BẾN TRE GIAI ĐOẠN 2021 - 2025 TỪ NGUỒN THU XỔ SỐ KIẾN THIẾT 
THỰC HIỆN CHƯƠNG TRÌNH MTQG XÂY DỰNG NÔNG THÔN MỚI</t>
  </si>
  <si>
    <t>Bổ sung kế hoạch vốn để triển khai thực hiện</t>
  </si>
  <si>
    <t>ĐA. 31 (Tuyến Út Khoe đến Bảy Chệt), ấp Sơn Phụng, xã Sơn Định</t>
  </si>
  <si>
    <t>UBND xã Sơn Định</t>
  </si>
  <si>
    <t>Xã Sơn Định</t>
  </si>
  <si>
    <t>Bổ sung danh mục và kế hoạch vốn để triển khai thực hiện</t>
  </si>
  <si>
    <t>208/QĐ-SXD ngày 6/12/2021; 666/QĐ-UBND ngày 03/4/2024</t>
  </si>
  <si>
    <t>8093949</t>
  </si>
  <si>
    <t>8069963</t>
  </si>
  <si>
    <t>8073236</t>
  </si>
  <si>
    <t>697/QĐ-SGTVT ngày 27/12/2023</t>
  </si>
  <si>
    <t>8067343</t>
  </si>
  <si>
    <t>xây dựng nhà làm việc Đảng ủy - HĐND - UBND - Mặt trận - Đoàn thể và các công trình phụ</t>
  </si>
  <si>
    <t>327/QĐ-SXD, ngày 15/12/2023</t>
  </si>
  <si>
    <t>8070237</t>
  </si>
  <si>
    <t>3070/QĐ-UBND ngày 29/12/2023</t>
  </si>
  <si>
    <t>190/QĐ-SXD, ngày 27/7/2023</t>
  </si>
  <si>
    <t>315/QĐ-SXD, ngày 04/12/2023</t>
  </si>
  <si>
    <t>Trung Tâm hành chính xã Thành Thới A</t>
  </si>
  <si>
    <t>2453/QĐ–UBND, ngày
24/10/2022</t>
  </si>
  <si>
    <t>2453/QĐ–UBND, ngày 24/10/2022</t>
  </si>
  <si>
    <t>Giảm vốn cho phù hợp với tiến độ thực hiện</t>
  </si>
  <si>
    <t>56/QĐ-SXD ngày 08/3/2022; 326/QĐ-SXD, 26/12/2022</t>
  </si>
  <si>
    <t>7958262</t>
  </si>
  <si>
    <t>8071451</t>
  </si>
  <si>
    <t>8069960</t>
  </si>
  <si>
    <t>3053/QĐ-UBND ngày 28/12/2023</t>
  </si>
  <si>
    <t>Nhà làm việc Đảng ủy -HĐND- UBND - Đoàn thể - Quân sự - Công an</t>
  </si>
  <si>
    <t xml:space="preserve">172/QĐ-SXD ngày 14/10/2021; 221/QĐ-SXD ngày 25/8/2023; </t>
  </si>
  <si>
    <t>174/QĐ-SXD ngày 14/10/2021; 224/QĐ-SXD ngày 28/8/2023</t>
  </si>
  <si>
    <t>Nhà làm việc Đảng ủy - UBND - Đoàn thể</t>
  </si>
  <si>
    <t>Giảm vốn phù hợp với 
khối lượng thực hiện</t>
  </si>
  <si>
    <t>2340/QĐ-UBND ngày 05/10/2021</t>
  </si>
  <si>
    <t>380/QĐ-UBND ngày 25/2/2021
Quyết định số 665/QD-UBND ngày 3/4/2024
Quyết định số 2258/QĐ-UBND ngày 04/10/2022</t>
  </si>
  <si>
    <t>471/QĐ-UBND ngày 11/3/2021; 1651/QĐ-UBND ngày 4/8/2023</t>
  </si>
  <si>
    <t>472/QĐ-UBND, 11/3/2021; 1680/QĐ-UBND, 09/8/2023</t>
  </si>
  <si>
    <t>xây dựng 14 phòng học, 21 phòng chức năng, các hạng mục phụ và trang thiết bị</t>
  </si>
  <si>
    <t>Lần 1: 315/QĐ-UBND ngày 09/02/2021
Lần 2: 689/QĐ-UBND ngày 04/4/2023
Lần 3: 667/QĐ-UBND ngày 03/4/2024</t>
  </si>
  <si>
    <t>1208/QĐ-UBND ngày 08/6/2023;
252/QĐ-SXD ngày 20/9/2023</t>
  </si>
  <si>
    <t>Trong đó: NSTW</t>
  </si>
  <si>
    <t>Tổng</t>
  </si>
  <si>
    <t xml:space="preserve">Đường ĐX 04 ( Đường cây Dong ấp Long Hòa (từ QL57 đến Huyện lộ 38)), xã Long Thới </t>
  </si>
  <si>
    <t xml:space="preserve">xã Long Thới </t>
  </si>
  <si>
    <t>606/QĐ-SGTVT ngày 06/12/2023</t>
  </si>
  <si>
    <t>Đường ĐX 08 (Tuyến Quốc Lộ 57 (Hai Thắm) xã Vĩnh Thành - Đường vào Trung tâm xã Hưng Khánh Trung B (giai đoạn 1)</t>
  </si>
  <si>
    <t>xã Vĩnh Thành</t>
  </si>
  <si>
    <t>585/QĐ-SGTVT ngày 17/11/2023</t>
  </si>
  <si>
    <t>Đường ĐX 05 (Tuyến từ ngã ba Phú Quới – Vĩnh Chính đến cầu ông kèo Vĩnh Chính), xã Vĩnh Hòa</t>
  </si>
  <si>
    <t>xã Vĩnh
 Hòa</t>
  </si>
  <si>
    <t xml:space="preserve">571/QĐ-SGTVT ngày 21/11/2023 </t>
  </si>
  <si>
    <t>Cống Ba Trọng trên đường vào Trung Tâm xã Hưng Khánh Trung B</t>
  </si>
  <si>
    <t>8061519</t>
  </si>
  <si>
    <t>xã Hưng Khánh Trung B</t>
  </si>
  <si>
    <t>578/QĐ-SGTVT ngày 27/11/2023</t>
  </si>
  <si>
    <t>Điều chỉnh giảm do giảm TMĐT</t>
  </si>
  <si>
    <t>Đường ĐA05 (Tuyến đường từ QL57 đến Huyện lộ 31),  xã Vĩnh Bình</t>
  </si>
  <si>
    <t>UBND xã Vĩnh Bình</t>
  </si>
  <si>
    <t xml:space="preserve"> xã Vĩnh Bình</t>
  </si>
  <si>
    <t>Địa phương tự đầu tư</t>
  </si>
  <si>
    <t>Đường ĐA07 (Tuyến từ cầu Đình Hòa Thuận đến cầu Phú Hòa),  xã Vĩnh Bình</t>
  </si>
  <si>
    <t>Đường ĐA05, ĐA 06 (Tuyến từ nhà Trần Khánh Hồng - HL 33- trụ sở ấp Đại An), xã Hòa Nghĩa</t>
  </si>
  <si>
    <t>UBND xã Hòa Nghĩa</t>
  </si>
  <si>
    <t>126/QĐ-SGTVT ngày 08/11/2023</t>
  </si>
  <si>
    <t>Điều chỉnh giảm do dự án sử dụng vốn CSAT</t>
  </si>
  <si>
    <t xml:space="preserve">Đường ĐA 07 (Đường từ ĐA 01 đến đê bao An Quy (Quân An - An Quy)), xã Long Thới </t>
  </si>
  <si>
    <t xml:space="preserve">UBND xã Long Thới </t>
  </si>
  <si>
    <t>431/QĐ-UBND xã Long Thới ngày 21/8/2023</t>
  </si>
  <si>
    <t>Đường ĐA 06 (Tuyến lộ từ cổng chào ấp Văn Hóa đến nhà Bảy Hựu ấp Hòa I) , xã Vĩnh Hòa</t>
  </si>
  <si>
    <t>UBND xã Vĩnh Hòa</t>
  </si>
  <si>
    <t>xã Vĩnh 
Hòa</t>
  </si>
  <si>
    <t>103/QĐ-UBND xã Vĩnh Hòa ngày 21/8/2023</t>
  </si>
  <si>
    <t>Đường ĐA 04 (Tuyến từ QL57 đến cầu thép không gian Hòa Lộc), xã Hưng Khánh Trung B</t>
  </si>
  <si>
    <t>UBND xã Hưng Khánh Trung B</t>
  </si>
  <si>
    <t>Đường ĐA 04 (Tuyến từ Lộ Ngả tư đến cầu Rạch Ranh), xã Sơn Định</t>
  </si>
  <si>
    <t>xã Sơn Định</t>
  </si>
  <si>
    <t>150/QĐ-UBND xã Sơn Định ngày 10/11/2023</t>
  </si>
  <si>
    <t>Gia cố mặt đê từ cầu xóm chỉ - Rạch Sơn, xã Sơn Định</t>
  </si>
  <si>
    <t>Gia cố mặt đê từ cầu Rạch Sơn – Hòa Phụng, xã Sơn Định</t>
  </si>
  <si>
    <t>Điều chỉnh giảm do phần đê chưa thực hiện</t>
  </si>
  <si>
    <t>ĐC 16 (Tuyến từ Tâm – Bảy Bửu – Ba Quang), xã Phú Sơn</t>
  </si>
  <si>
    <t>UBND xã Phú Sơn</t>
  </si>
  <si>
    <t>xã Phú Sơn</t>
  </si>
  <si>
    <t>263/QĐ-UBND xã, 6/11/2023</t>
  </si>
  <si>
    <t>Gia cố mặt đê từ cầu Đình Hòa Thuận đến nhà ông 6 Tấn,  xã Vĩnh Bình</t>
  </si>
  <si>
    <t>8047453</t>
  </si>
  <si>
    <t>544/QĐ-SNN, 14/9/2023</t>
  </si>
  <si>
    <t xml:space="preserve">Đê bao ấp Long Quới ( cầu Long Quới - cống cầu Ngựa), xã Long Thới </t>
  </si>
  <si>
    <t>khoảng 1000 m</t>
  </si>
  <si>
    <t>543/QĐ-SNN,
 ngày 14/9/2023</t>
  </si>
  <si>
    <t>Đê bao từ nhà bà Lưu Thị Tư đến
 ông Nguyễn Văn Phi, ấp Định Bình, xã Hòa Nghĩa</t>
  </si>
  <si>
    <t>Xây dựng tuyến đê bao dài khoảng 1.217m và phần cống dưới đê</t>
  </si>
  <si>
    <t>2023 -2025</t>
  </si>
  <si>
    <t>526/QĐ-SNN, 13/9/2023</t>
  </si>
  <si>
    <t>Tuyến từ huyện lộ 35 đến nhà thờ Quãng Ngãi, ấp Vĩnh Nam - Đông Nam, xã Vĩnh Thành</t>
  </si>
  <si>
    <t>UBND xã Vĩnh Thành</t>
  </si>
  <si>
    <t>226/QĐ-UBND xã Vĩnh Thành ngày 30/8/2023</t>
  </si>
  <si>
    <t>Tuyến từ cầu Đông Kinh đến rạch Bảo Vàng, xã  Phú Sơn</t>
  </si>
  <si>
    <t>8070230</t>
  </si>
  <si>
    <t xml:space="preserve"> Đường tổ NDTQ số 01 ấp Phú Long (ĐC13), xã Hưng Khánh Trung B</t>
  </si>
  <si>
    <t>175/QĐ-UBND xã, 22/9/2023</t>
  </si>
  <si>
    <t>Đường tổ NDTQ số 02 ấp Phú Long
(ĐC09) xã Hưng Khánh Trung B</t>
  </si>
  <si>
    <t>176/QĐ-UBND xã, 22/9/2023</t>
  </si>
  <si>
    <t>Tuyến từ Nguyễn Văn Tân đến giáp Thanh Trung (ĐC15), xã Hưng Khánh Trung B</t>
  </si>
  <si>
    <t>174/QĐ-UBND xã, 22/9/2023</t>
  </si>
  <si>
    <t>Tuyến đường từ ông Bé tổ 1 đến ông Nhiều tổ 10 ấp Phú Đa, xã Vĩnh Bình</t>
  </si>
  <si>
    <t>UBND xã  Vĩnh Bình</t>
  </si>
  <si>
    <t>xã Vĩnh Bình</t>
  </si>
  <si>
    <t>70/QĐ-UBND xã, 30/8/2023</t>
  </si>
  <si>
    <t>Tuyến từ cầu 27/7 đến Phạm Sơn, ấp Phú Hiệp, xã Vĩnh Bình</t>
  </si>
  <si>
    <t>169/QĐ-UBND xã, 30/8/023</t>
  </si>
  <si>
    <t>Tuyến đường từ cầu Caí Ớt đến cầu 2 tháng 9, ấp Phụng Châu, xã Sơn Định</t>
  </si>
  <si>
    <t>Bổ sung danh mục và bổ sung vốn để triển khai thực hiện</t>
  </si>
  <si>
    <t>Đường ĐC.12 (Tuyến từ Quốc lộ 57B – ông Nguyễn Văn Lịnh ấp Định Bình), xã Hòa Nghĩa</t>
  </si>
  <si>
    <t>Đường ĐX.01 (Tuyến đường Lô Hội - Bến đò Phú Hiệp - Phú Đa), ấp Phú Hiệp, xã Vĩnh Bình</t>
  </si>
  <si>
    <t>Nâng cấp, mở rộng Đường ĐX.01 (đoạn từ Vòng xoay cầu Hàm Luông đến bến đò Trường Thịnh), xã Thanh Tân</t>
  </si>
  <si>
    <t xml:space="preserve">xã Thanh Tân </t>
  </si>
  <si>
    <t>3124/QĐ-UBND ngày 27/11/2020</t>
  </si>
  <si>
    <t>Đường ĐA.05 liên ấp Thanh Sơn 2, 3, 4 (đoạn từ ĐA.04 đến bến phà Hàm Luông cũ), xã Thanh Tân</t>
  </si>
  <si>
    <t>513/QĐ-SGTVT ngày 24/9/2021</t>
  </si>
  <si>
    <t>Đường ĐX.02 (đoạn từ đường tránh thị trấn Mỏ Cày đến giáp ĐX.03 xã Tân Bình), xã Hòa Lộc</t>
  </si>
  <si>
    <t>xã Hòa
 Lộc</t>
  </si>
  <si>
    <t>371/QĐ-SGTVT ngày 14/7/2021</t>
  </si>
  <si>
    <t>Đường ĐX.03 (đoạn từ đường tránh thị trấn Mỏ Cày đến giáp Đường ĐX.03 xã Thành An), xã Hòa Lộc</t>
  </si>
  <si>
    <t xml:space="preserve">cấp A </t>
  </si>
  <si>
    <t>312/QĐ-SGTVT ngày 23/6/2021</t>
  </si>
  <si>
    <t>Đường ĐX.03 (đoạn từ ranh đô thị đến ĐX.01 xã Hưng Khánh Trung A - Nhánh 01), xã Phước Mỹ Trung</t>
  </si>
  <si>
    <t>368/QĐ-SGTVT ngày
30/5/20222</t>
  </si>
  <si>
    <t>Đường ĐX.05 (Đoàn từ đường ĐX.03 đến ĐX.01 xã Hưng Khánh Trung A - Nhánh 02), xã Phước Mỹ Trung</t>
  </si>
  <si>
    <t>369/QĐ-SGTVT ngày
30/5/20222</t>
  </si>
  <si>
    <t>Cải tạo Hội trường nhà văn hóa xã, xây dựng mới 05 phòng chức năng xã Thạnh Ngãi</t>
  </si>
  <si>
    <t>Cải tạo Hội trường nhà văn hóa xã, xây dựng mới 05 phòng chức năng</t>
  </si>
  <si>
    <t>207/QĐ-SXD ngày
 6/12./2021</t>
  </si>
  <si>
    <t>Đường ĐA.01 (đoạn từ ĐX.04 đến ngã 3 vào trường TH Thạnh Ngãi 1), xã Thạnh Ngãi</t>
  </si>
  <si>
    <t>398/QĐ-SGTVT ngày 9/6/2022</t>
  </si>
  <si>
    <t>Đường ĐA.03 (Đoạn từ ranh quy hoạch đô thị đến đường ĐA.02), xã Phước Mỹ trung</t>
  </si>
  <si>
    <t>776/QĐ-SGTVT ngày 07/12/2022</t>
  </si>
  <si>
    <t>Trung tâm thể thao, nhà văn hóa  xã Nhuận Phú Tân</t>
  </si>
  <si>
    <t>8049794</t>
  </si>
  <si>
    <t>Cải tạo, sửa chữa hội trường hiện hữu thành hội trường văn hóa đa năng</t>
  </si>
  <si>
    <t>217/QĐ-SDX, ngày 22/8/2023</t>
  </si>
  <si>
    <t>Đường ĐA.07, từ ĐH.20 (nhà Trương Văn Sáu) đến giáp ranh xã Khánh Thạnh Tân (nhà Ngô Văn Triết), xã Nhuận Phú Tân</t>
  </si>
  <si>
    <t>8073237</t>
  </si>
  <si>
    <t>698/QĐ-SGTVT ngày 27/12/2023</t>
  </si>
  <si>
    <t>tăng nội bộ</t>
  </si>
  <si>
    <t>Trung tâm thể thao, nhà văn hóa  xã Khánh Thạnh Tân</t>
  </si>
  <si>
    <t>8049793</t>
  </si>
  <si>
    <t xml:space="preserve">Xây dựng hội trường văn hóa đa năng </t>
  </si>
  <si>
    <t>259/QĐ-SXD ngày 28/9/2023</t>
  </si>
  <si>
    <t>Đường ĐX.04 (đoạn từ đường ĐH.20 - ĐX.01) xã Khánh Thạnh Tân</t>
  </si>
  <si>
    <t>8069964</t>
  </si>
  <si>
    <t>681/QĐ-SGTVT, ngày 25/12/2023</t>
  </si>
  <si>
    <t>Nâng cấp, mở rộng Đường ĐX.03 (đoạn từ ĐH.DK.38 - giáp xã Phú Sơn và nhánh rẽ giáp xã Vĩnh Hòa), xã Phú Mỹ</t>
  </si>
  <si>
    <t>679/QĐ-SGTVT ngày 25/12/2023</t>
  </si>
  <si>
    <t>Bổ sung từ huyện Chợ Lách</t>
  </si>
  <si>
    <t>Nâng cấp, mở rộng Đường ĐH.34 (đoạn từ ranh Chợ Lách đến UBND xã Thạnh Ngãi -giai đoạn 1)</t>
  </si>
  <si>
    <t>Cải tạo Trung tâm Văn hóa thể thao huyện Mỏ Cày Bắc</t>
  </si>
  <si>
    <t>Đường ĐX.01 (từ QL.57 đến cầu Chợ Ngãi Đăng, giáp xã Cẩm Sơn), xã Ngãi Đăng</t>
  </si>
  <si>
    <t>468/QĐ-SGTVT ngày 08/9/2021</t>
  </si>
  <si>
    <t>Dự án hoàn thành hết nhu cầu vốn</t>
  </si>
  <si>
    <t>Cải tạo hội trường Ủy ban nhân dân xã thành các phòng chức năng; xây dựng mới Hội trường văn hóa xã Ngãi Đăng</t>
  </si>
  <si>
    <t>cải tạo hội trường UBND xã thành các PCN; xây dựng mới Hội trường VH xã</t>
  </si>
  <si>
    <t>494/QĐ-SXD ngày 31/12/2020</t>
  </si>
  <si>
    <t>Nâng cấp, mở rộng Đường ĐX.02 (từ QL.57 đến giáp ranh xã Minh Đức), xã Hương Mỹ</t>
  </si>
  <si>
    <t>Xây dựng Đường ĐA.05 (từ HL.17 đến cầu Mỹ Đức 2), xã Hương Mỹ</t>
  </si>
  <si>
    <t>Nâng cấp, mở rộng Đường ĐC.01 (đoạn từ QL.57 đến hộ ông Châu Văn Lâm, ấp Thạnh Tây), xã Hương Mỹ</t>
  </si>
  <si>
    <t>UBND xã Hương Mỹ</t>
  </si>
  <si>
    <t xml:space="preserve">Xây dựng mới các phòng chức năng xã Hương Mỹ </t>
  </si>
  <si>
    <t>Đường ĐX.02 (từ đường ĐX.03 đến giáp ranh xã Đa Phước Hội), xã An Thạnh</t>
  </si>
  <si>
    <t>xã An
 Thạnh</t>
  </si>
  <si>
    <t>Đường ĐA.01 (đoạn từ cầu Đình đến đường ĐX.01), xã An Thạnh</t>
  </si>
  <si>
    <t>UBND xã 
An Thạnh</t>
  </si>
  <si>
    <t>xã An 
Thạnh</t>
  </si>
  <si>
    <t>Đường ĐA.09 (từ QL.60 đến đường ĐA.06), xã An Thạnh</t>
  </si>
  <si>
    <t>Đường ĐX.04 (từ QL.57 đến ĐX 02 xã Bình Khánh), xã An Định</t>
  </si>
  <si>
    <t>xã An 
Định</t>
  </si>
  <si>
    <t>672/QĐ-SGTVT ngày 16/11/2020</t>
  </si>
  <si>
    <t>674/QĐ-SGTVT ngày 16/11/2020</t>
  </si>
  <si>
    <t>Đường ĐX.05 (đoạn từ tuyến tránh QL.60 đến giáp ranh xã Hòa Lộc), xã Tân Hội</t>
  </si>
  <si>
    <t>594QĐ-SGTVT ngày 04/12/2023</t>
  </si>
  <si>
    <t>Đường ĐA.01 (đoạn từ QL.57 đến giáp ranh xã Hòa Lộc), xã Tân Hội</t>
  </si>
  <si>
    <t>595/QĐ-SGTVT, 04/12/2023</t>
  </si>
  <si>
    <t>Đường ĐX.04 (đoạn từ HL.17 đến Kênh đồng), xã Thành Thới B</t>
  </si>
  <si>
    <t>599/QĐ-SGTVT, 04/12/2023</t>
  </si>
  <si>
    <t>Nhà Văn hóa xã Thành Thới B</t>
  </si>
  <si>
    <t>Xậy dựng Hội trường quy mô 250 chỗ</t>
  </si>
  <si>
    <t>316/QĐ-SXD, 04/12/2023</t>
  </si>
  <si>
    <t>Bổ sung kế hoạch vốn
để triển khai thực hiện</t>
  </si>
  <si>
    <t>Tăng nội bộ</t>
  </si>
  <si>
    <t>Xây dựng đường ĐX.04 (đoạn từ đường dẫn vào cầu Cổ Chiên (QL.60 mới) đến HL.17), xã Thành Thới A</t>
  </si>
  <si>
    <t>598/QĐ-SGTVT, 04/12/2023</t>
  </si>
  <si>
    <t>Đường từ QL.57 đến cầu Phước Đa (ĐX.03), xã Đa Phước Hội</t>
  </si>
  <si>
    <t>597/QĐ-SGTVT, 04/12/2023</t>
  </si>
  <si>
    <t>Đường ĐA.01 (đoạn từ đường tránh QL.60 đến giáp cầu Cây Dương), xã Đa Phước Hội</t>
  </si>
  <si>
    <t>596/QĐ-SGTVT, 04/12/2023</t>
  </si>
  <si>
    <t>Nhà văn hóa xã Đa Phước Hội</t>
  </si>
  <si>
    <t>Xây dựng Hội 
trường VH</t>
  </si>
  <si>
    <t>314/QĐ-SXD,
 04/12/2023</t>
  </si>
  <si>
    <t>Xây dựng đường ĐH.DK.43 (đoạn từ QL.57 đến QL.60 mới)</t>
  </si>
  <si>
    <t xml:space="preserve"> huyện Mỏ Cày Nam</t>
  </si>
  <si>
    <t>Trung tâm văn hóa, thể thao huyện Mỏ Cày Nam</t>
  </si>
  <si>
    <t>89/QĐ-SXD ngày 05/6/2024</t>
  </si>
  <si>
    <t>Xây dựng Đường ĐA.01 (từ HL.24 đến đường ĐX.01), xã Tân Phong</t>
  </si>
  <si>
    <t>762/QĐ-SGTVT ngày 22/12/2020</t>
  </si>
  <si>
    <t>Xây dựng Đường ĐA.03 (từ QL.57 đến đường ĐA.04), xã Tân Phong</t>
  </si>
  <si>
    <t>154/QĐ-SGTVT ngày 24/3/2021; 634/QĐ-SGTVT ngày 3/10/2022</t>
  </si>
  <si>
    <t>Xây dựng Đường ĐA.04 (từ đường ĐX.03 đến giáp ranh xã Hương Mỹ), xã Tân Phong</t>
  </si>
  <si>
    <t>155/QĐ-SGTVT ngày 24/3/2021; 631/QĐ-SGTVT ngày 28/9/2022</t>
  </si>
  <si>
    <t>Xây dựng đường ĐC.08 (từ nhà ông Nguyễn Thanh Hải đến nhà bà Huỳnh Thị Lộc), xã Tân Phong</t>
  </si>
  <si>
    <t>UBND xã 
Tân Phong</t>
  </si>
  <si>
    <t>114/QĐ-UBND ngày 08/10/2020</t>
  </si>
  <si>
    <t>Nhà văn hóa xã Tân Phong</t>
  </si>
  <si>
    <t>Cải tạo Nhà văn hóa xã và xây dựng các phòng chức năng</t>
  </si>
  <si>
    <t>439/QĐ-SXD ngày 13/11/2020</t>
  </si>
  <si>
    <t>Nâng cấp, mở rộng Đường ĐX.01, ĐX.02 (đoạn từ ngã ba Bồn Bồn đến hết tuyến ĐX.02), xã Thạnh Phong</t>
  </si>
  <si>
    <t>2987/QĐ-UBND ngày 13/11/2020; 2180/QĐ-SGTVT ngày 26/9/2022</t>
  </si>
  <si>
    <t>Bổ sung để thanh toán khối lượng hoàn thành</t>
  </si>
  <si>
    <t>Sửa chữa nhà tránh bão thành Nhà văn hóa xã  Thạnh Phong</t>
  </si>
  <si>
    <t>Sửa chữa nhà tránh bão thành nhà văn hóa xã, xây các phòng chức năng</t>
  </si>
  <si>
    <t>440/QĐ-SXD ngày 13/11/2020</t>
  </si>
  <si>
    <t>Mở rộng mạng lưới cấp nước của nhà máy nước Thạnh Phú</t>
  </si>
  <si>
    <t>Trung tâm NS
 &amp;VSMTNT</t>
  </si>
  <si>
    <t xml:space="preserve"> tuyến ống khoảng 29,8 km</t>
  </si>
  <si>
    <t>404/QĐ-SXD ngày 09/11/2020</t>
  </si>
  <si>
    <t>Mở rộng tuyến ống cấp nước từ nhà máy nước Hòa Lợi, xã Hòa Lợi</t>
  </si>
  <si>
    <t>xã Hòa
 Lợi</t>
  </si>
  <si>
    <t>tuyến ống khoảng 20km</t>
  </si>
  <si>
    <t>219/QĐ-SXD ngày 17/12/2021</t>
  </si>
  <si>
    <t>Dự án hoàn thành hết nhu cầu vốn tỉnh</t>
  </si>
  <si>
    <t>Nâng cấp mở rộng huyện lộ 27 (đoạn từ Quốc Lộ 57 đến sông Cổ Chiên), huyện Thạnh Phú</t>
  </si>
  <si>
    <t xml:space="preserve"> huyện Thạnh Phú</t>
  </si>
  <si>
    <t>Cấp V đồng bằng (mặt rộng 6 mét)</t>
  </si>
  <si>
    <t>3041/QĐ-UBND ngày 27/12/2023</t>
  </si>
  <si>
    <t>Đường ĐA.05, xã Hòa Lợi</t>
  </si>
  <si>
    <t>607/QĐ-SGTVT ngày 06/12/2023</t>
  </si>
  <si>
    <t>Đường ĐX.03 (từ cổng văn hóa ấp An Thạnh – đến Lộ Sông Tiền), xã An Khánh</t>
  </si>
  <si>
    <t>UBND huyện
 Châu Thành</t>
  </si>
  <si>
    <t>440/QĐ-SGTVT ngày 20/8/2021</t>
  </si>
  <si>
    <t>Đường ĐX.04 cổng ấp văn hóa ấp An Mỹ – An Thới A (từ QL57B - đến ĐX.01), xã An Khánh</t>
  </si>
  <si>
    <t>422/QĐ-SGTVT ngày 12/8/2021</t>
  </si>
  <si>
    <t>Đường ĐA.04, lộ chùa ấp Phước Tự (từ QL.57B – đến ĐX.02), xã An Khánh</t>
  </si>
  <si>
    <t>502/QĐ-SGTVT ngày 20/9/2021</t>
  </si>
  <si>
    <t>Đường ĐA.05 cổng ấp văn hóa ấp Phước Xuân (từ QL.57B - đến ĐX.02), xã An Khánh</t>
  </si>
  <si>
    <t>UBND xã
 An Khánh</t>
  </si>
  <si>
    <t>242/QĐ-UBND ngày 31/12/2020; 406/QĐ-UBND ngày 15/12/2021</t>
  </si>
  <si>
    <t>Xây dựng Hội trường đa năng xã An Khánh</t>
  </si>
  <si>
    <t>Hội trường và hạng mục phụ</t>
  </si>
  <si>
    <t xml:space="preserve">127/QĐ-SXD ngày
30/6/2021 </t>
  </si>
  <si>
    <t>Đường ĐX.02 (từ giáp QL.57C - đến giáp ĐX.01), xã Sơn Hòa</t>
  </si>
  <si>
    <t>Xã Sơn 
Hòa</t>
  </si>
  <si>
    <t xml:space="preserve">385/QĐ-SGTVT ngày
22/7/2021 </t>
  </si>
  <si>
    <t>Cải tạo, sửa chữa Trường Mẫu Giáo cũ thành Nhà văn hóa xã và các phòng chức năng, xã Sơn Hòa</t>
  </si>
  <si>
    <t>Cải tạo, sửa chữa Trường MG cũ thành NVH xã và các phòng chức năng</t>
  </si>
  <si>
    <t>133/QĐ-SXD ngày 
30/6/2021</t>
  </si>
  <si>
    <t>Đường ĐX.03 (từ QL.60 cũ - đến ĐA.02), xã Tam Phước</t>
  </si>
  <si>
    <t xml:space="preserve">474/QĐ-SGTVT ngày
10/9/2021 </t>
  </si>
  <si>
    <t>Đường ĐX.05 (từ cầu kênh Sông Mã - đến giáp xã Sơn Đông), xã Tam Phước</t>
  </si>
  <si>
    <t xml:space="preserve">512/QĐ-SGTVT ngày
24/9/2021 </t>
  </si>
  <si>
    <t>Đường ĐA.07 (từ ĐH.01- đến giáp ĐX.01), xã Tam Phước</t>
  </si>
  <si>
    <t>503/QĐ-SGTVT ngày 20/9/2021</t>
  </si>
  <si>
    <t>Xây mới Hội trường văn hóa đa năng xã Tam Phước</t>
  </si>
  <si>
    <t>132/QĐ-SXD ngày 30/6/2021</t>
  </si>
  <si>
    <t>Đường ĐX.01 (từ QL.57B - đến giáp ĐX.03), xã Tân Phú</t>
  </si>
  <si>
    <t>xã Tân
 Phú</t>
  </si>
  <si>
    <t>505/QĐ-SGTVT ngày 22/9/2021</t>
  </si>
  <si>
    <t>Đường ĐX.02 (điểm đầu nhà Ông Sáu Em ấp Tân Qui - điểm cuối giáp cầu Ông Nguyễn Hữu Hiệu ấp Hàm Luông), xã Tân Phú</t>
  </si>
  <si>
    <t xml:space="preserve">475/QĐ-SGTVT ngày
10/9/2021 </t>
  </si>
  <si>
    <t>Đường ĐA.02 (từ QL.57B - đến giáp xã Tiên Long), xã Tân Phú</t>
  </si>
  <si>
    <t xml:space="preserve">478/QĐ-SGTVT ngày
10/9/2021 </t>
  </si>
  <si>
    <t>Đường ĐA.04 (từ ĐH.DK19 – đến giáp ĐA.03), xã Tân Phú</t>
  </si>
  <si>
    <t xml:space="preserve">471/QĐ-SGTVT ngày
08/9/2021 </t>
  </si>
  <si>
    <t>Đường ĐA.06 (từ QL57B - đến giáp ĐX.01), xã Tân Phú</t>
  </si>
  <si>
    <t>UBND xã
 Tân Phú</t>
  </si>
  <si>
    <t>xã Tân 
Phú</t>
  </si>
  <si>
    <t>338/QĐ-UBND ngày 31/12/2020</t>
  </si>
  <si>
    <t>Đường ĐX.05 (Điểm đầu từ QL.57C đến giáp ranh xã Sơn Hòa), xã An Hiệp</t>
  </si>
  <si>
    <t>xã An
 Hiệp</t>
  </si>
  <si>
    <t>254/QĐ-SGTVT ngày 17/5/2021</t>
  </si>
  <si>
    <t>Đường ĐX 06 (Điểm đầu từ QL.57C điểm cuối đến giáp cống Cả Quảng), xã An Hiệp</t>
  </si>
  <si>
    <t>345/QĐ-SGTVT ngày 06/7/2021</t>
  </si>
  <si>
    <t>Đường ĐA.02 (Điểm đầu QL.57C điểm cuối giáp ĐA.07), xã An Hiệp</t>
  </si>
  <si>
    <t>UBND xã 
An Hiệp</t>
  </si>
  <si>
    <t>94/QĐ-UBND ngày 15/10/2020</t>
  </si>
  <si>
    <t>Đường ĐA.05 (Điểm đầu lộ Thành An đến giáp ĐX.06), xã An Hiệp</t>
  </si>
  <si>
    <t>2012-2023</t>
  </si>
  <si>
    <t>253/QĐ-SGTVT ngày 17/5/2021</t>
  </si>
  <si>
    <t>Xây dựng hội trường văn hóa xã An Hiệp</t>
  </si>
  <si>
    <t>Hội trường  và hạng mục phụ</t>
  </si>
  <si>
    <t>419/QĐ-SXD ngày 13/11/2020</t>
  </si>
  <si>
    <t>Đường ĐX.01 Lộ Điệp (từ QL.57B đến giáp ĐH.04), xã Phú An Hòa</t>
  </si>
  <si>
    <t>xã Phú
 An Hòa</t>
  </si>
  <si>
    <t xml:space="preserve">446/QĐ-SGTVT ngày
25/8/2021 </t>
  </si>
  <si>
    <t>Đường ĐX.03 Lộ Cầu Quao (Đoạn 1 từ QL.57B – đến giáp ĐX.02; đoạn 2 từ ĐX.02 đến giáp ĐH.04),  xã Phú An Hòa</t>
  </si>
  <si>
    <t>xã Phú 
An Hòa</t>
  </si>
  <si>
    <t xml:space="preserve">448/QĐ-SGTVT ngày
25/8/2021 </t>
  </si>
  <si>
    <t>Đường ĐA.02 đường Trụ sở ấp Phước Hoà (từ ĐH.04 – đến giáp ĐX.02),  xã Phú An Hòa</t>
  </si>
  <si>
    <t>UBND xã
 Phú An Hòa</t>
  </si>
  <si>
    <t>175/QĐ-UBND ngày 30/12/2020; 476/QĐ-UBND ngày 17/12/2021</t>
  </si>
  <si>
    <t>Đường ĐA.06 (từ QL.57B – đến giáp ĐX.02),  xã Phú An Hòa</t>
  </si>
  <si>
    <t>177/QĐ-UBND ngày 30/12/2020; 477/QĐ-UBND ngày 17/12/2021</t>
  </si>
  <si>
    <t>Đường ĐA.07 (từ giáp ĐH.04 - đến giáp ĐX.02),  xã Phú An Hòa</t>
  </si>
  <si>
    <t>181/QĐ-UBND ngày 30/12/2020; 478/QĐ-UBND ngày 17/12/2021</t>
  </si>
  <si>
    <t>Đường ĐC.05 (từ Lộ ngang - đến giáp ĐA.02),  xã Phú An Hòa</t>
  </si>
  <si>
    <t xml:space="preserve">176/QĐ-UBND ngày 30/12/2020; 481/QĐ-UBND ngày 17/12/2021 </t>
  </si>
  <si>
    <t>Xây mới Hội trường văn hóa đa năng xã Phú An Hòa</t>
  </si>
  <si>
    <t xml:space="preserve">129/QĐ-SXD ngày
30/6/2021 </t>
  </si>
  <si>
    <t>Đường ĐX.03 (Từ giáp QL.57C đến giáp Lộ Thơ xã Thành Triệu), xã Quới Thành</t>
  </si>
  <si>
    <t>703/QĐ-SGTVT 29/12/2023</t>
  </si>
  <si>
    <t>Bổ sung kế hoach vốn
 để triển khai thực hiện</t>
  </si>
  <si>
    <t xml:space="preserve">Nâng cấp mở rộng Đường ĐX.01 (Đoạn từ ĐH.01 đến giáp QL.57C), xã Quới Thành </t>
  </si>
  <si>
    <t>704/QĐ-SGTVT
ngày 29/12/2023</t>
  </si>
  <si>
    <t>Trung tâm thể thao nhà văn hóa xã  Quới Thành</t>
  </si>
  <si>
    <t>8095824</t>
  </si>
  <si>
    <t>354/QĐ-SXD
ngày 29/12/2023</t>
  </si>
  <si>
    <t>Đường ĐX.03 (Từ ranh xã Tiên Thủy đến giáp nhà văn hóa ấp Tiên Phú 1), xã  Tiên Long</t>
  </si>
  <si>
    <t>705/QĐ-SGTVT 29/12/202</t>
  </si>
  <si>
    <t>Đường ĐA.01 (Từ giáp ĐX.01 đến giáp rạch Cái Cam xã Tiên Thủy), xã Tiên Long</t>
  </si>
  <si>
    <t>707/QĐ-SGTVT
ngày 29/12/2023</t>
  </si>
  <si>
    <t>Đường ĐX.04 (từ nhà văn hóa ấp Tiên Phú 1 đến ĐH.DK.19), xã Tiên Long</t>
  </si>
  <si>
    <t>Xã Tiên Long, Tân Phú</t>
  </si>
  <si>
    <t>706/QĐ-SGTVT
ngày 29/12/2023</t>
  </si>
  <si>
    <t>Trung tâm thể thao, nhà văn hóa xã Tiên Long</t>
  </si>
  <si>
    <t xml:space="preserve">Xây dựng mới </t>
  </si>
  <si>
    <t>351/QĐ-SXD 29/12/2023</t>
  </si>
  <si>
    <t xml:space="preserve">Đường ĐX.03 (Đoạn từ cầu Miễu đến cầu Ông Bảy Tỳ), xã Phước Thạnh </t>
  </si>
  <si>
    <t>UBND Xã 
Phước Thạnh</t>
  </si>
  <si>
    <t>Xã 
Phước Thạnh</t>
  </si>
  <si>
    <t>711/QĐ-SGTVT
ngày 29/12/2023</t>
  </si>
  <si>
    <t xml:space="preserve">Đường ĐA.03, đường liên ấp Phước Thiện - Phước Định (Từ giáp ĐA.01 đến giáp ĐX.01 và nhánh rẽ ra Trường Mầm non Trần Văn Ơn), xã Phước Thạnh  </t>
  </si>
  <si>
    <t>708/QĐ-SGTVT
ngày 29/12/2023</t>
  </si>
  <si>
    <t>Đường ĐX.05 (Từ ĐH.03 đến giáp cầu Đúc), xã Giao Long</t>
  </si>
  <si>
    <t>709/QĐ-SGTVT
ngày 29/12/20</t>
  </si>
  <si>
    <t>Trung tâm thể thao, nhà văn hóa  xã Giao Long</t>
  </si>
  <si>
    <t>Đường ĐX.06 (Từ ĐH.03 đến giáp ĐH.DK.13), xã Giao Long</t>
  </si>
  <si>
    <t>Đường ĐX.03 (Từ giáp ĐX.07 đến giáp QL.57C ), xã Tiên Thủy</t>
  </si>
  <si>
    <t>Xã 
Tiên thủy</t>
  </si>
  <si>
    <t>Đường ĐA.04 (Từ giáp QL.57C đến ), xã Tiên Thủy</t>
  </si>
  <si>
    <t>Nhà văn hóa xã Tiên Thủy</t>
  </si>
  <si>
    <t>Xã Tiên Thủy</t>
  </si>
  <si>
    <t>Sửa chữa hội tường, xây dựng 5 PCN</t>
  </si>
  <si>
    <t>Đường ĐA.04 (Điểm đầu giáp QL.57B, điểm cuối giáp Sông Tiền), xã Phú Đức</t>
  </si>
  <si>
    <t>710/QĐ-SGTVT
ngày 29/12/2023</t>
  </si>
  <si>
    <t>Đường ĐC.08 (đoạn từ  cầu Cồn Dơi, ấp Phú Ninh đến tổ 9 ấp Phú Hội),  xã Phú Đức</t>
  </si>
  <si>
    <t>Trung tâm thể thao, nhà văn hóa xã Phú Đức</t>
  </si>
  <si>
    <t xml:space="preserve">Xây dựng hội trường văn hóa đa năng xã </t>
  </si>
  <si>
    <t>352/QĐ-SXD
ngày 29/12/2023</t>
  </si>
  <si>
    <t>Đường ĐA.02 (Từ giáp cầu chùa Tân Khánh đến giáp ĐX.02 ), xã Tân Thạch</t>
  </si>
  <si>
    <t>Đường ĐA.06, giai đọan 2 (Đoạn từ giáp ĐA.06, giai đoạn 1 đến giáp QL.57B), xã Tân Thạch</t>
  </si>
  <si>
    <t>Đường ĐA.07 (từ giáp ĐX.02 đến giáp ĐC.08), xã Tân Thạch</t>
  </si>
  <si>
    <t xml:space="preserve"> Nhà văn hóa xã Tân Thạch </t>
  </si>
  <si>
    <t>Sửa chữa hội trường văn hóa, xây dựng 5 phòng CN</t>
  </si>
  <si>
    <t>353/QĐ-SXD
ngày 29/12/2023</t>
  </si>
  <si>
    <t>Đường ĐA.09 (Từ ĐA.05 đến giáp ĐA.07), xã An Hiệp</t>
  </si>
  <si>
    <t>Xã 
An Hiệp</t>
  </si>
  <si>
    <t>Đường ĐC.09 (Từ ĐH.01 đến giáp ranh xã Sơn Đông), xã Tam Phước</t>
  </si>
  <si>
    <t>UBND Xã 
Tam Phước</t>
  </si>
  <si>
    <t>Xã 
Tam Phước</t>
  </si>
  <si>
    <t>Nâng cấp, mở rộng mặt đường và hệ thống thoát nước đường ĐX.01, xã Lộc Thuận</t>
  </si>
  <si>
    <t>UBND 
huyện Bình Đại</t>
  </si>
  <si>
    <t>631/QĐ-SGTVT ngày 10/11/2020</t>
  </si>
  <si>
    <t>Đường ĐX.03 liên xã Phú Vang - Lộc Thuận - Định Trung (đoạn từ Cầu Treo đến sông Cả Cao), xã Lộc Thuận</t>
  </si>
  <si>
    <t>2895/QĐ-UBND ngày 05/11/2020</t>
  </si>
  <si>
    <t>Bổ sung vốn để thanh toán khối lượng thực hiện</t>
  </si>
  <si>
    <t>Đường ĐC.01 (Từ giáp đường Xóm Đùi đến giáp nhà ông Lê Văn Phê) ấp Lộc Sơn, xã Lộc Thuận</t>
  </si>
  <si>
    <t>UBND xã 
Lộc Thuận</t>
  </si>
  <si>
    <t xml:space="preserve"> cấp D</t>
  </si>
  <si>
    <t>51/QĐ-UBND ngày 22/10/2020</t>
  </si>
  <si>
    <t>Xây dựng mới Hội trường đa năng và các phòng chức năng xã Lộc Thuận</t>
  </si>
  <si>
    <t>Xây dựng mới Hội trường đa năng và các phòng chức năng, hạng mục phụ</t>
  </si>
  <si>
    <t>426/QĐ-SXD ngày 13/11/2020</t>
  </si>
  <si>
    <t>Nâng cấp, mở rộng và xây mới đường  ĐX.05 (đoạn từ QL.57B đến giáp Đê sông Tiền), xã Long Định</t>
  </si>
  <si>
    <t>xã Long
 Định</t>
  </si>
  <si>
    <t>2021- 2023</t>
  </si>
  <si>
    <t>654/QĐ-SGTVT ngày 16/11/2020</t>
  </si>
  <si>
    <t>Nâng cấp, mở rộng Đường ĐX.06 (đoạn từ ĐX.01 đến ĐX.04), xã Vang Quới Tây</t>
  </si>
  <si>
    <t>2257/QĐ-UBND ngày 23/9/2021</t>
  </si>
  <si>
    <t>Xây dựng Hội trường văn hóa đa năng  xã Vang Quới Tây</t>
  </si>
  <si>
    <t>xây dựng nhà VH đa năng và hạng mục phụ</t>
  </si>
  <si>
    <t>171/QĐ-SXD ngày 14/10/2021</t>
  </si>
  <si>
    <t>Hỗ trợ gia cố mặt đê sông Tiền (đoạn qua xã Vang Quới Tây, từ ngã ba Ông Táo đến giáp ranh xã Vang Quới Đông)</t>
  </si>
  <si>
    <t>444/QĐ-SGTVT ngày
25/8/2021</t>
  </si>
  <si>
    <t>Nâng cấp, mở rộng Đường ĐX.04 (đoạn từ giáp xã Thới Lai đến Đường  liên xã Đông Tây), xã Vang Quới Tây</t>
  </si>
  <si>
    <t>460/QĐ-SGTVT ngày 01/9/2021</t>
  </si>
  <si>
    <t>Nâng cấp, mở rộng Đường ĐX.01 (đoạn từ QL.57B đến giáp Đường ĐH.07), xã Bình Thới</t>
  </si>
  <si>
    <t>QĐ số 467/QĐ-SGTVT ngày 08/9/2021;
QĐ số 550/QĐ-SGTVT ngày 06/11/2023</t>
  </si>
  <si>
    <t>Điều chỉnh giảm phù hợp với cơ cấu vốn</t>
  </si>
  <si>
    <t>Đường ĐX .09 (đoạn từ ĐH.08 đến giáp đường Bắc - Nam),  xã Bình Thới</t>
  </si>
  <si>
    <t>546/QĐ-SGTVT
 ngày 03/11/2023</t>
  </si>
  <si>
    <t>Đường ĐX.06 (đoạn từ cầu treo xã Định Trung đến cầu Bình Trung) xã Định Trung, giai đoạn 1</t>
  </si>
  <si>
    <t>Nhà văn hoá xã Bình Thới</t>
  </si>
  <si>
    <t>8054892</t>
  </si>
  <si>
    <t xml:space="preserve"> sửa chữa NVH xã, xây dựng  05 phòng chức năng, các HMP</t>
  </si>
  <si>
    <t>282/QĐ-SXD 
ngày 30/10/2023</t>
  </si>
  <si>
    <t>Nhà văn hóa xã Định Trung</t>
  </si>
  <si>
    <t xml:space="preserve"> sửa chữa hội trường xã thành NVH xã, xây dựng 05 PCN</t>
  </si>
  <si>
    <t>291/QĐ-SXD
 ngày 08/11/2023</t>
  </si>
  <si>
    <t>Đường ĐX.02 (từ bến đò Long Định đến ĐX.01), xã Tam Hiệp</t>
  </si>
  <si>
    <t>Đường ĐA.03 (đoạn từ Đường ĐX.01 đến ĐC.10), xã Vang Quới Tây</t>
  </si>
  <si>
    <t>QĐ số 453/QĐ-SGTVT ngày 27/8/2021;
QĐ số 442/QĐ-SGTVT ngày 13/9/2023</t>
  </si>
  <si>
    <t>Nâng cấp, mở rộng Đường ĐA.07 (đoạn từ Đường ĐX.04 đến ĐA.06), xã Vang Quới Tây</t>
  </si>
  <si>
    <t>QĐ số 467/QĐ-SGTVT ngày 08/9/2021;
QĐ số 443/QĐ-SGTVT ngày 12/9/2023</t>
  </si>
  <si>
    <t>Đường ĐA.08 (đoạn từ Đường ĐX.03 đến xã Phú Thuận), xã Vang Quới Tây</t>
  </si>
  <si>
    <t xml:space="preserve">QĐ số 459/QĐ-SGTVT 
ngày 01/9/2021;
QĐ số 441/QĐ-SGTVT ngày 13/9/2023 </t>
  </si>
  <si>
    <t>Đường ĐA.01 (đoạn từ QL.57B đến giáp ĐH.07)</t>
  </si>
  <si>
    <t>UBND xã Bình Thới</t>
  </si>
  <si>
    <t>112/QĐ-UBND, ngày 29/5/2023</t>
  </si>
  <si>
    <t>Đường Đê Nông trường (ĐX 02) (điểm đầu đất ông Nguyễn Văn Quân, điểm cuối giáp đê Tây sông Ba Lai)</t>
  </si>
  <si>
    <t>Xã Thạnh Trị</t>
  </si>
  <si>
    <t>Bổ sung dự án để  sử dụng hết vốn trung ương</t>
  </si>
  <si>
    <t>Đường ĐX.02 (Đoạn từ HL.12 đến giáp ranh xã An Ngãi Trung), xã Mỹ Thạnh</t>
  </si>
  <si>
    <t>UBND 
huyện Ba Tri</t>
  </si>
  <si>
    <t>xã Mỹ
 Thạnh</t>
  </si>
  <si>
    <t>559/QĐ-SGTVT ngày 30/9/2020; 346/QĐ-SGTVT ngày 06/7/2021</t>
  </si>
  <si>
    <t>Nâng cấp, mở rộng và hệ thống cống dọc Đường ĐX.03 (Đoạn từ HL.12 đến giáp ranh xã Mỹ Nhơn), xã Mỹ Thạnh</t>
  </si>
  <si>
    <t>528/QĐ-SGTVT ngày 22/9/2020; 407/QĐ-SGTVT ngày 05/8/2021</t>
  </si>
  <si>
    <t>Đường ĐX.04 (Đoạn từ HL.12 đến giáp ranh xã Mỹ Chánh), xã Mỹ Thạnh</t>
  </si>
  <si>
    <t>2655/QĐ-UBND ngày 15/10/2020</t>
  </si>
  <si>
    <t>Đường ĐX.05 (đoạn từ ĐX.02 đến ĐX.03), xã Mỹ Thạnh</t>
  </si>
  <si>
    <t>408/QĐ-SGTVT ngày 05/8/2021</t>
  </si>
  <si>
    <t>Xây dựng Đường ĐA.02; ĐA.03 và ĐA.04, xã Mỹ Thạnh</t>
  </si>
  <si>
    <t>406/QĐ-SGTVT ngày 05/8/2021</t>
  </si>
  <si>
    <t>Xây dựng Hội trường đa năng và các phòng chức năng xã Mỹ Thạnh, huyện Ba Tri</t>
  </si>
  <si>
    <t>424/QĐ-SXD ngày 13/11/2020</t>
  </si>
  <si>
    <t>Cải tạo, nâng cấp Đường ĐX.03 (đoạn từ  HL.14 đến Đường ĐX 01), xã Phú Lễ</t>
  </si>
  <si>
    <t>xã Phú 
Lễ</t>
  </si>
  <si>
    <t>368/QĐ-SGTVT ngày 14/7/2021</t>
  </si>
  <si>
    <t>Nâng cấp và xây dựng hệ thống thoát nước, bó vĩa Đường ĐX.02 (từ HL.01 đến giáp ranh xã Mỹ Thạnh), xã An Bình Tây</t>
  </si>
  <si>
    <t>xã An 
Bình Tây</t>
  </si>
  <si>
    <t>310/QĐ-SGTVT ngày 21/6/2021, 488/QĐ-SGTVT ngày 15/7/2022</t>
  </si>
  <si>
    <t>Đường ĐX.03 (Từ ĐH.DK.01 đến ĐA.03), xã Phước Ngãi</t>
  </si>
  <si>
    <t>662/QĐ-SGTVT ngày 22/12/2023</t>
  </si>
  <si>
    <t>Đường liên tổ NDTQ số 4-7-18 ấp 3 (ĐC.09) (từ cầu ông Mai Văn Biền đến nhà ông Lê Văn Góp), xã Thạnh Phú Đông</t>
  </si>
  <si>
    <t>UBND 
huyện Giồng Trôm</t>
  </si>
  <si>
    <t>216/QĐ-SGTVT ngày 20/4/2021</t>
  </si>
  <si>
    <t>Đường liên tổ NDTQ số 2-12-13 ấp 3 (ĐN.06) (từ nhà ông Nguyễn Văn Dứt đến nhà ông Huỳnh Văn Dũng), xã Thạnh Phú Đông</t>
  </si>
  <si>
    <t>cấp D</t>
  </si>
  <si>
    <t>359/QĐ-UBND ngày 30/10/2020</t>
  </si>
  <si>
    <t>Đường liên ấp 5-7 (ĐC.05) (Đoạn từ Quốc lộ 57C đến tiếp giáp đường ĐX.02), xã Sơn Phú</t>
  </si>
  <si>
    <t>xã Sơn 
Phú</t>
  </si>
  <si>
    <t>217/QĐ-SGTVT ngày 20/4/2021</t>
  </si>
  <si>
    <t>Đường ấp 8 đi xã Nhơn Thạnh (ĐC.06) (Đoạn từ Quốc lộ 57C đến giáp xã Nhơn Thạnh), xã Sơn Phú</t>
  </si>
  <si>
    <t>268/QĐ-SGTVT ngày 24/5/2021</t>
  </si>
  <si>
    <t>Đường trục chính ấp 5 (ĐC.07) (Đoạn từ ĐX.02 đến giáp sông Hàm Luông), xã Sơn Phú</t>
  </si>
  <si>
    <t>UBND xã Sơn Phú</t>
  </si>
  <si>
    <t>342/QĐ-UBND ngày 05/10/2020</t>
  </si>
  <si>
    <t>Đường trục chính ấp 7 (ĐC.08) (Đoạn từ Quốc lộ 57C đến giáp xã Thuận Điền), xã Sơn Phú</t>
  </si>
  <si>
    <t>341/QĐ-UBND ngày 05/10/2020</t>
  </si>
  <si>
    <t>Xây dựng mạng tuyến ống phân phối cấp nước khu vực cù lao Long Thành, xã Sơn Phú và Hưng Phong, huyện Giồng Trôm</t>
  </si>
  <si>
    <t>Trung tâm NSVSMT</t>
  </si>
  <si>
    <t>xã Sơn Phú và Hưng Phong</t>
  </si>
  <si>
    <t>chiều dài tuyến khoảng 42.405 m</t>
  </si>
  <si>
    <t>229/QĐ-SXD gày 31/12/2021</t>
  </si>
  <si>
    <t>Đường ĐX.05 (Đường cầu bia Sài Gòn) (từ ĐH.DK.30 đến nhà ông Lũy), xã Hưng Lễ</t>
  </si>
  <si>
    <t>xã Hưng
 Lễ</t>
  </si>
  <si>
    <t>329/QĐ-SGTVT ngày 29/6/2021</t>
  </si>
  <si>
    <t>Đường ĐX.06 (từ ĐX.02 đến cầu Mười Thảo), xã Hưng Lễ</t>
  </si>
  <si>
    <t>78/QĐ-SGTVT ngày 26/01/2021</t>
  </si>
  <si>
    <t>Đường ĐC.03 (đường sông Miễu Ông ấp 10) (từ ĐX.03 đến sông Miễu Ông), xã Hưng Lễ</t>
  </si>
  <si>
    <t>UBND xã Hưng Lễ</t>
  </si>
  <si>
    <t>230/QĐ-UBND, 29/10/2020 ngày 598/QĐ-UBND ngày 31/8/2022</t>
  </si>
  <si>
    <t>Đường ĐC.04 (Đường trung tâm ấp 10) (từ ĐX.01 đến nhà ông Phú), xã Hưng Lễ</t>
  </si>
  <si>
    <t>231/QĐ-UBND ngày 29/10/2020, 599/QĐ-UBND ngày 31/8/2022</t>
  </si>
  <si>
    <t>Nâng cấp, mở rộng Đường vào trung tâm xã Bình Thành (ĐX.01) (đoạn từ cống Bình Đông đến cầu ấp Bình Đông), xã Bình Thành</t>
  </si>
  <si>
    <t>xã Bình Thành</t>
  </si>
  <si>
    <t>172/QĐ-SGTVT ngày 30/3/2021</t>
  </si>
  <si>
    <t>Đường ĐA.05 (đoạn từ Cầu tổ 10 ấp Cái Chốt đến Tổ 3 ấp Cái Tắc), xã Mỹ Thạnh</t>
  </si>
  <si>
    <t>xã Mỹ 
Thạnh</t>
  </si>
  <si>
    <t>558/QĐ-SGTVT ngày 13/10/2021</t>
  </si>
  <si>
    <t>Đường liên ấp Bến Đò - Cái Chốt (ĐA.06), đoạn từ đường liên xã Mỹ Thạnh-Thuận Điền đến trường Mầm non ấp 6 Cái Tắc, xã Mỹ Thạnh</t>
  </si>
  <si>
    <t>UBND xã Mỹ Thạnh</t>
  </si>
  <si>
    <t>213/QĐ-UBND ngày 29/12/2020, 558/QĐ-UBND ngày 26/8/2022</t>
  </si>
  <si>
    <t>Cải tạo hội trường UBND xã thành Hội trường văn hóa xã, xây dựng các phòng chức năng, xã Mỹ Thạnh</t>
  </si>
  <si>
    <t>143/QĐ-SXD ngày 19/8/2021</t>
  </si>
  <si>
    <t>Đường ĐA.04 (đoạn từ đường Kỷ Lục đến đường Đê Quốc Phòng), xã Châu Bình</t>
  </si>
  <si>
    <t>xã Châu 
Bình</t>
  </si>
  <si>
    <t>617/QĐ-SGTVT ngày 9/11/2021</t>
  </si>
  <si>
    <t>Đường ĐX.01 (đoạn từ HL.11 đến QL.57C), xã Tân Hào</t>
  </si>
  <si>
    <t>560/QĐ-SGTVT ngày 13/10/2021</t>
  </si>
  <si>
    <t>Đường ĐA.03 (đoạn từ QL.57C đến ĐA.01), xã Tân Hào</t>
  </si>
  <si>
    <t>UBND 
xã Tân Hào</t>
  </si>
  <si>
    <t>357/QĐ-UBND ngày 31/12/2020, 577/QĐ-UBND ngày 30/8/2022</t>
  </si>
  <si>
    <t>Cải tạo Hội trường UBND xã thành Hội trường văn hóa xã, xây dựng các phòng chức năng, xã Tân Hào</t>
  </si>
  <si>
    <t>Sửa chữa hội trường, xây dựng mới 05 phòng chức năng, HMP</t>
  </si>
  <si>
    <t>114/QĐ-SXD ngày 09/6/2021</t>
  </si>
  <si>
    <t>Đường ĐA.06, ĐA.07, xã Thuận Điền</t>
  </si>
  <si>
    <t xml:space="preserve">UBND huyện </t>
  </si>
  <si>
    <t xml:space="preserve"> Cấp C</t>
  </si>
  <si>
    <t>634/QĐ-SGTVT, 15/12/2023</t>
  </si>
  <si>
    <t>Đường ĐC.01 (Đoạn từ ngã 4 Bảy Xuyến đến Cầu Chữ A ấp Lương Quới), xã Lương Phú</t>
  </si>
  <si>
    <t xml:space="preserve">UBND 
huyện </t>
  </si>
  <si>
    <t>Xã Lương Phú</t>
  </si>
  <si>
    <t>Số 829/QĐ-SGTVT, 23/12/2022</t>
  </si>
  <si>
    <t>Đường ĐA.01 , ĐA.04 xã Lương Quới</t>
  </si>
  <si>
    <t>UBND huyện</t>
  </si>
  <si>
    <t>Xã Lương Quới</t>
  </si>
  <si>
    <t>631/QĐ-SGTVT, 15/12/2023</t>
  </si>
  <si>
    <t>Đường ĐX.01 (liên xã Phong Nẫm- Châu Hòa), xã Phong Nẫm</t>
  </si>
  <si>
    <t>3026/QĐ-UBND, 29/12/2022</t>
  </si>
  <si>
    <t>Đường ĐX.05, xã Phong Nẫm</t>
  </si>
  <si>
    <t>Xã Phong Nẫm</t>
  </si>
  <si>
    <t>108/QĐ-SGTVT,  21/3/2024</t>
  </si>
  <si>
    <t>Đường ĐA.06, ĐA. 07, ĐA.08, xã Long Mỹ</t>
  </si>
  <si>
    <t>833/QĐ-SGTVT, 26/12/2022</t>
  </si>
  <si>
    <t>Đường ĐC.02, ĐC.04, ĐC.05, xã Long Mỹ</t>
  </si>
  <si>
    <t xml:space="preserve"> Cấp D</t>
  </si>
  <si>
    <t>834/QĐ-SGTVT,  26/12/2022</t>
  </si>
  <si>
    <t>Trung tâm thể thao, nhà văn hóa xã Long Mỹ</t>
  </si>
  <si>
    <t>318/QĐ-SXD ngày 23/12/2022</t>
  </si>
  <si>
    <t xml:space="preserve">Đường ĐX.01 (điểm đầu QL 57C- điểm cuối cầu Long Thuận, xã Thuận Điền); Đường ĐX.02 (điểm đầu nhà Út Mỹ- điểm cuối QL 57C), xã Phước Long    </t>
  </si>
  <si>
    <t>Xã Phước Long</t>
  </si>
  <si>
    <t>633/QĐ-SGTVT, 15/12/2022</t>
  </si>
  <si>
    <t>Đường ĐX.04 (điểm đầu giáp với ĐX.05- điểm cuối ranh xã Tân Lợi Thạnh), xã Phước Long</t>
  </si>
  <si>
    <t>196/QĐ-SGTVT, 31/5/2024</t>
  </si>
  <si>
    <t>Đường ĐX.05 (điểm đầu cầu Rạch Heo- điểm cuối xã Long Mỹ), xã Phước Long</t>
  </si>
  <si>
    <t>50/QĐ-SGTVT ngày 31/01/2024</t>
  </si>
  <si>
    <t>Đường ĐA.09 (điểm đầu giáp ĐA.05- điểm cuối giáp xã Thuận Điền), xã Phước Long</t>
  </si>
  <si>
    <t>106/QĐ-SGTVT ngày 21/3/2024</t>
  </si>
  <si>
    <t>Đường ĐX.04 (từ ĐA.02 đến ĐT.DK04), xã Hưng Nhượng</t>
  </si>
  <si>
    <t>Xã Hưng Nhượng</t>
  </si>
  <si>
    <t xml:space="preserve"> 826/QĐ-SGTVT, 23/12/2022</t>
  </si>
  <si>
    <t>Đường ĐA.06, xã Hưng Nhượng</t>
  </si>
  <si>
    <t xml:space="preserve"> 3027/QĐ-UBND, 29/12/2022</t>
  </si>
  <si>
    <t>Trung tâm thể thao, nhà văn hóa xã Hưng Nhượng</t>
  </si>
  <si>
    <t>318/QĐ-SXD ngày 04/12/2022</t>
  </si>
  <si>
    <t>Đường ĐA.01, xã Lương Hòa</t>
  </si>
  <si>
    <t>51/QĐ-SGTVT,  31/01/2024</t>
  </si>
  <si>
    <t>Đường ĐX.02 (đường từ cầu Ba Vông đến lộ Thủ Ngữ), xã Lương Hòa</t>
  </si>
  <si>
    <t>632/QĐ-SGTVT, 15/12/2023</t>
  </si>
  <si>
    <t>Đường ĐX.02 (đoạn từ chùa Qui Thuận đến đường huyện 11), xã Tân Thanh</t>
  </si>
  <si>
    <t>630/QĐ-SGTVT, 15/12/2023</t>
  </si>
  <si>
    <t>Đường ĐX.03, xã Tân Thanh</t>
  </si>
  <si>
    <t>903/QĐ-UBND ngày 27/4/2024</t>
  </si>
  <si>
    <t>Đường ấp Tân Lợi (ĐA.01), xã Tân Thanh</t>
  </si>
  <si>
    <t>117/QĐ-SGTVT, 27/3/2024</t>
  </si>
  <si>
    <t>Trung tâm thể thao, nhà văn hóa xã Tân Thanh</t>
  </si>
  <si>
    <t>309/QĐ-SXD ngày 29/11/2023</t>
  </si>
  <si>
    <t>KCM NĂM 2025</t>
  </si>
  <si>
    <t>Đường ĐX.01 (đoạn từ cầu 30/4 đến ranh xã Phước Long), xã Tân Lợi Thạnh</t>
  </si>
  <si>
    <t>Xã Tân Lợi Thạnh</t>
  </si>
  <si>
    <t>40/QĐ-SGTVT ngày 24/01/2024</t>
  </si>
  <si>
    <t>Đường ĐX.02, xã Tân Lợi Thạnh</t>
  </si>
  <si>
    <t>53/QĐ-SGTVT ngày 0102/2024</t>
  </si>
  <si>
    <t>Đường ĐA.06, ĐA.12, ĐA.16, xã Tân Lợi Thạnh</t>
  </si>
  <si>
    <t>52/QĐ-SGTVT ngày 01/02/2024</t>
  </si>
  <si>
    <t>Trung tâm thể thao, nhà văn hóa xã Tân Lợi Thạnh</t>
  </si>
  <si>
    <t>337/QĐ-SXD NGÀY 25/12/2023</t>
  </si>
  <si>
    <t>Trung tâm thể thao, nhà văn hóa xã Thuận Điền</t>
  </si>
  <si>
    <t xml:space="preserve"> xã Thuận Điền</t>
  </si>
  <si>
    <t>sửa chữa hội trường, xây dựng mới 5 PCN, HMP</t>
  </si>
  <si>
    <t xml:space="preserve">302/QĐ-SXD ngày 14/11/2023 </t>
  </si>
  <si>
    <t>Trung tâm thể thao, nhà văn hóa xã Bình Hòa</t>
  </si>
  <si>
    <t>xã Bình Hòa</t>
  </si>
  <si>
    <t>320/QĐ-SXD ngày 06/12/2023</t>
  </si>
  <si>
    <t>Đường ĐA.03 (Xóm Rẫy  ấp Linh Phụng), xã Long Mỹ</t>
  </si>
  <si>
    <t>Đường ĐA.03 (Lộ BOT), xã Nhơn Thạnh</t>
  </si>
  <si>
    <t>UBND Thành phố Bến Tre</t>
  </si>
  <si>
    <t xml:space="preserve"> xã Nhơn Thạnh</t>
  </si>
  <si>
    <t>458/QĐ-SGTVT ngày 20/9/2023</t>
  </si>
  <si>
    <t>Đường ĐA.12 (lộ liên tổ 6,7,8,9 ấp Phú Chánh), xã Phú Hưng</t>
  </si>
  <si>
    <t xml:space="preserve"> xã Phú Hưng</t>
  </si>
  <si>
    <t>248QĐ-SGTVT, ngày 20/9/2023</t>
  </si>
  <si>
    <t>Đường ĐX.01 (đoạn từ QL.57C đến TL.883), xã Sơn Đông</t>
  </si>
  <si>
    <t xml:space="preserve">xã Sơn Đông </t>
  </si>
  <si>
    <t xml:space="preserve">459/QĐ-SGTVT ngày 20/9/2023;
</t>
  </si>
  <si>
    <t>Đường ĐA.06 (lộ tổ 5 ấp An Thạnh A), xã Mỹ Thạnh An</t>
  </si>
  <si>
    <t>xã Mỹ Thạnh An</t>
  </si>
  <si>
    <t>249/QĐ-SXD, ngày 20/9/2023; 57/QĐ-SXD ngày 11/4/2024</t>
  </si>
  <si>
    <t>Đường ĐA.03.BP (Lộ 1A Bình Thạnh nối với lộ 5-6-7 ấp Phú Lợi), xã Bình Phú</t>
  </si>
  <si>
    <t>xã Bình
 Phú</t>
  </si>
  <si>
    <t>250/QĐ-SXD, ngày 20/9/2023; 56/QĐ-SXD ngày 11/4/2024</t>
  </si>
  <si>
    <t>ĐA.11 (lộ tổ 11 ấp Phú Hữu), xã Phú
 Hưng</t>
  </si>
  <si>
    <t>xã Phú
 Hưng</t>
  </si>
  <si>
    <t>589/QĐ-SGTVT, ngày 01/12/2023</t>
  </si>
  <si>
    <t>Nâng cấp, mở rộng đường ĐA.08 (lộ nhánh rẽ lộ Chùa), xã Phú Nhuận</t>
  </si>
  <si>
    <t>xã Phú 
Nhuận</t>
  </si>
  <si>
    <t>251/QĐ-SGTVT, ngày 20/9/2023</t>
  </si>
  <si>
    <t>ĐA.12 (tuyến lộ nối Giồng Trâm - Nhơn Thạnh), xã Phú Nhuận</t>
  </si>
  <si>
    <t>2024-2025</t>
  </si>
  <si>
    <t>Đường ĐA.08 (Lộ tổ 13, ấp An Thuận A), xã Mỹ Thạnh An</t>
  </si>
  <si>
    <t>Bổ sung danh mục và bổ sung kế hoạch vốn để triển khai thực hiện</t>
  </si>
  <si>
    <t>Hỗ trợ thực hiện Chương trình mỗi xã một sản phẩm (OCOP)</t>
  </si>
  <si>
    <t>Hỗ trợ thực hiện mô hình thí điểm thuộc Chương trình mỗi xã một sản phẩm (OCOP)</t>
  </si>
  <si>
    <t>Ghi chú: đối với các công trình chưa có quyết định đầu tư thì tổng mức đầu tư và năng lực thiết kế là tính toán sơ bộ, sẽ được xác định cụ thể trong quá trình lập BC kinh tế kỹ thuật, 
BC nghiên cứu khả thi</t>
  </si>
  <si>
    <t>Phụ lục III</t>
  </si>
  <si>
    <t>(Kèm theo Nghị quyết số        /2024/NQ-HĐND ngày       tháng    năm 2024 của Hội đồng nhân dân tỉnh Bến Tre)</t>
  </si>
  <si>
    <t>(Kèm theo Nghị quyết số               / 2024/NQ-HĐND ngày       tháng     năm 2024 của Hội đồng nhân dân tỉnh Bến Tre)</t>
  </si>
  <si>
    <t>ĐIỀU CHỈNH, BỔ SUNG KẾ HOẠCH ĐẦU TƯ CÔNG TRUNG HẠN NGUỒN VỐN NGÂN SÁCH NHÀ NƯỚC TỈNH BẾN TRE GIAI ĐOẠN 2021 - 2025  
NGUỒN NGÂN SÁCH TRUNG ƯƠNG THỰC HIỆN CHƯƠNG TRÌNH MTQG XÂY DỰNG NÔNG THÔN MỚI</t>
  </si>
  <si>
    <t>ĐIỀU CHỈNH, BỔ SUNG KẾ HOẠCH ĐẦU TƯ CÔNG TRUNG HẠN NGUỒN VỐN NGÂN SÁCH NHÀ NƯỚC TỈNH BẾN TRE GIAI ĐOẠN 2021 - 2025 
NGUỒN  NGÂN SÁCH TRUNG ƯƠNG THỰC HIỆN CHƯƠNG TRÌNH MTQG GIẢM NGHÈO BỀN VỮNG</t>
  </si>
  <si>
    <t>(Kèm theo Nghị quyết số        /2024/NQ-UBND ngày       tháng    năm 2024 của Hội đồng nhân dân tỉnh Bến Tre)</t>
  </si>
  <si>
    <t>Lũy kế vốn ngân sách tỉnh đã bố 
trí đến hết kế hoạch năm 2024</t>
  </si>
  <si>
    <t>Xã Mỹ An</t>
  </si>
  <si>
    <t>Dự án chuyển tiếp sang giai đoạn 2021 - 2025</t>
  </si>
  <si>
    <t>Đường ĐA.08 (từ ranh đất ông Trần Văn Công đến đường Biện Lễ), xã Mỹ An</t>
  </si>
  <si>
    <t>88/QĐ-UBND, ngày 20/7/2020; 69/QĐ-UBND, ngày 04/5/2022</t>
  </si>
  <si>
    <t>Đường ĐA.05 (từ HL.92 đến trụ sở ấp Thạnh Mỹ), xã Mỹ An</t>
  </si>
  <si>
    <t>141/QĐ-UBND, ngày 11/12/2020</t>
  </si>
  <si>
    <t xml:space="preserve">Đường ĐA.05, xã Mỹ An (giai đoạn 2) </t>
  </si>
  <si>
    <t>409/QĐ-SGTVT, ngày 10/6/2022</t>
  </si>
  <si>
    <t xml:space="preserve">Nâng cấp, sửa chữa Hội trường UBND xã thành nhà văn hóa  xã Mỹ An </t>
  </si>
  <si>
    <t xml:space="preserve">NC, SC HT thành nhà văn hóa và các phòng chức năng </t>
  </si>
  <si>
    <t>287/QĐ-SXD 03/11/2023</t>
  </si>
  <si>
    <t>Đường ĐC.03 (Lộ Rạch Lò), ấp Thạnh Mỹ, xã Mỹ An</t>
  </si>
  <si>
    <t>682/QĐ-SGTVT, ngày 25/12/2023</t>
  </si>
  <si>
    <t>Đường ĐA.07 từ HL92 đến Km0+000 đến km 1+400 (đoàn từ HL92 hướng ra sông Băng Cung), xã Mỹ An</t>
  </si>
  <si>
    <t>683/QĐ-SGTVT, ngày 2/12/2023</t>
  </si>
  <si>
    <t>Đường ĐC.06 (đường ra khu sản xuất Giồng Trong), từ đường Cồn Bững đến đất ông Phạm Văn Hải), xã Thạnh Hải</t>
  </si>
  <si>
    <t>122/QĐ-UBND, ngày 30/11/2020</t>
  </si>
  <si>
    <t>Đường ĐX.01 (Đoạn từ ĐH.92 đến cống Ông 3 Đông), xã Thạnh Hải</t>
  </si>
  <si>
    <t>411/QĐ-SGTVT, ngày 10/6/2022</t>
  </si>
  <si>
    <t>Đường ĐA.03 (từ ĐH.92 đến giáp sông), ấp Thạnh Thới Đông, xã Thạnh Hải</t>
  </si>
  <si>
    <t>684/QĐ-SGTVT, ngày 25/12/2023</t>
  </si>
  <si>
    <t>Điều chỉnh giảm vốn do giảm TMĐT</t>
  </si>
  <si>
    <t>Xây dựng mới nhà văn hóa xã Thạnh Hải</t>
  </si>
  <si>
    <t xml:space="preserve">Xây dựng  nhà văn hóa và các phòng chức năng </t>
  </si>
  <si>
    <t>343/QĐ-SXD ngày 25/12/2023</t>
  </si>
  <si>
    <t>Đường ĐC.05 (từ đường ĐH.92 đến giáp sông), ấp Thạnh Hưng B, xã Thạnh Hải</t>
  </si>
  <si>
    <t>460/QĐ-SGTVT ngày 20/9/2022</t>
  </si>
  <si>
    <t xml:space="preserve"> Đường ĐA.06 (Từ HL92 đến Km0+850), ấp Thạnh Thới B, xã Thạnh Hải</t>
  </si>
  <si>
    <t>661/QĐ-SGTVT ngày 22/12/2023</t>
  </si>
  <si>
    <t>Đường ĐC.12, ấp Thạnh Lợi, xã Thạnh Hại</t>
  </si>
  <si>
    <t>Đường ĐC.01 (từ nhà ông Bùi Văn Trung đến rạch Tàn Dù), xã Bình Thạnh</t>
  </si>
  <si>
    <t>UBND xã Bình Thạnh</t>
  </si>
  <si>
    <t>198/QĐ-UBND, ngày 27/11/2020</t>
  </si>
  <si>
    <t>Đường ĐC.02 (Đoạn từ cầu Mười Chùm đến đường ĐA.01), xã Bình Thạnh</t>
  </si>
  <si>
    <t>405/QĐ-SGTVT, ngày 10/6/2022</t>
  </si>
  <si>
    <t>Đường ĐA.03 (từ huyện lộ 25 đến QL 57), ấp Thạnh Lại, xã Bình Thạnh</t>
  </si>
  <si>
    <t>827/QĐ-SGTVT, ngày 23/12/2022</t>
  </si>
  <si>
    <t>Nâng cấp, sửa chữa Hội trường thành nhà văn hóa  xã và cải tạo, sửa chữa dãy nhà hiện hữu thành 05 phòng chức năng xã Bình Thạnh</t>
  </si>
  <si>
    <t>08/QĐ-SXD, ngày 14/01/2022</t>
  </si>
  <si>
    <t>Đường ĐA.04 (từ ngã ba rạch cầu tre đến rạch Bến Mã), xã Bình Thạnh</t>
  </si>
  <si>
    <t>830/QĐ-SGTVT, ngày 26/12/2022</t>
  </si>
  <si>
    <t>Bổ sung vốn để thanh
toán khối lượng hoàn
thành</t>
  </si>
  <si>
    <t>Đường ĐN.07 (Đoạn từ ĐX.01 đến QL57), xã Bình Thạnh</t>
  </si>
  <si>
    <t>832/QĐ-SGTVT, ngày 26/12/2022</t>
  </si>
  <si>
    <t>Đường ĐA.08 (đường Tổ NDTQ số 1), xã An Qui</t>
  </si>
  <si>
    <t>UBND xã An Qui</t>
  </si>
  <si>
    <t>140/QĐ-UBND, ngày 10/12/2020</t>
  </si>
  <si>
    <t>Đường ĐA.09 (Đoạn từ HL.28 đến nhà ông Phạm Văn Hợp), xã An Qui</t>
  </si>
  <si>
    <t>404/QĐ-SGTVT, ngày 10/6/2022</t>
  </si>
  <si>
    <t>Đường ĐA.04 (Từ HL28 đến nhà bà Nguyễn Thị Hiếu), ấp An Huề, xã An Qui</t>
  </si>
  <si>
    <t>533/QĐ-SGTVT 30/10/2023</t>
  </si>
  <si>
    <t>Nâng cấp, sửa chữa Hội trường UBND xã thành nhà văn hóa  xã An Qui</t>
  </si>
  <si>
    <t>NC, SC Hội trường thành NVH và các PCN</t>
  </si>
  <si>
    <t>340/QĐ-SXD ngày
25/12/2023</t>
  </si>
  <si>
    <t>Đường ĐA.07 (Từ nhà bà Đào Thị Mến đến nhà ông Phạm Văn Đông), ấp An Ninh, xã An Qui</t>
  </si>
  <si>
    <t>514/QĐ-SGTVT 19/10/2023</t>
  </si>
  <si>
    <t>Xã An Điền</t>
  </si>
  <si>
    <t>Đường B11, ấp Giang Hà (từ HL.29 đến cầu Ba Sen), xã An Điền</t>
  </si>
  <si>
    <t>UBND xã An Điền</t>
  </si>
  <si>
    <t>144/QĐ-UBND, ngày 10/12/2020</t>
  </si>
  <si>
    <t>Đường ĐA.11 (Đoạn từ nhà ông Nguyễn Văn Tiệp đến cầu Xẻo Lớn), xã An Điền</t>
  </si>
  <si>
    <t>403/QĐ-SGTVT, ngày 10/6/2022</t>
  </si>
  <si>
    <t>Đường ĐA.07 (từ nhà ông Lê Văn Đi đến đường tôm lúa), ấp An Khương A, xã An Điền</t>
  </si>
  <si>
    <t>678/QĐ-SGTVT, ngày 25/12/2023</t>
  </si>
  <si>
    <t>Đường ĐA.03 (từ HL.92 đi tổ NDTQ số 13), ấp Giang Hà, xã An Điền</t>
  </si>
  <si>
    <t>Huyện đầu tư từ nguồn khác</t>
  </si>
  <si>
    <t>Đường nhánh rẽ ĐA.11, xã An Điền</t>
  </si>
  <si>
    <t>522/QĐ-SGTVT 23/10/2023</t>
  </si>
  <si>
    <t>Đường ĐA.04; Đường ĐC.04 (giai đoạn 3); Đường ĐC.05, xã An Điền</t>
  </si>
  <si>
    <t>2023-2026</t>
  </si>
  <si>
    <t>680/QĐ-SGTVT, ngày 25/12/2023</t>
  </si>
  <si>
    <t>Đường ĐC.04, xã An Thuận</t>
  </si>
  <si>
    <t>UBND xã An Thuận</t>
  </si>
  <si>
    <t>209/QĐ-UBND, ngày 10/12/2020</t>
  </si>
  <si>
    <t>Đường ĐC.09 (Đoạn từ đường ĐC.05 đến Rạch Ớt),  xã An Thuận</t>
  </si>
  <si>
    <t>407/QĐ-SGTVT, ngày 10/6/2022</t>
  </si>
  <si>
    <t>Nâng cấp, sửa chữa Hội trường UBND xã thành nhà văn hóa  xã An Thuận</t>
  </si>
  <si>
    <t xml:space="preserve">Nâng cấp, sửa chữa Hội trường thành NVH và các PCN </t>
  </si>
  <si>
    <t>324/QĐ-SXD ngày 26/12/2022</t>
  </si>
  <si>
    <t>Đường ĐX.01 từ KM0+0000 đến KM1+000 (đoạn từ QL 57 hướng ra đê quốc phòng), xã An Thuận</t>
  </si>
  <si>
    <t>825/QĐ-SGTVT, ngày 23/12/2022</t>
  </si>
  <si>
    <t>Đường ĐA.04 (từ cầu Kênh Triền  đến đường ĐX.01), ấp An Điền, xã An Thuận</t>
  </si>
  <si>
    <t>Huyện đầu tư nguồn khác</t>
  </si>
  <si>
    <t>Đường ĐA.05 (Từ đường HL27 đến đường ĐX.01), ấp An Hội A, xã An Thuận</t>
  </si>
  <si>
    <t>Đường ĐX.01 từ KM1+000 đến KM2+750 (đoạn từ QL 57 hướng ra đê quốc phòng), xã An Thuận</t>
  </si>
  <si>
    <t>507/QĐ-SGTVT 16/10/2023</t>
  </si>
  <si>
    <t>Xã An Thạnh</t>
  </si>
  <si>
    <t>Đường ĐX.02, Lộ Bờ Riều, (Đoạn từ ĐH.28 đến đường ĐX.03), xã An Thạnh</t>
  </si>
  <si>
    <t>406/QĐ-SGTVT, ngày 10/6/2022</t>
  </si>
  <si>
    <t>Nâng cấp, sửa chữa Hội trường UBND xã thành nhà văn hóa  xã An Thạnh</t>
  </si>
  <si>
    <t xml:space="preserve">Nâng cấp, sửa chữa Hội trường NVH xã và các PCN </t>
  </si>
  <si>
    <t>260/QĐ-SXD; 29/9/2023</t>
  </si>
  <si>
    <t>Đường ĐA.04 (đường Lộ  Lô), ấp AnThạnh, xã An Thạnh</t>
  </si>
  <si>
    <t>476/QĐ-SGTVT 26/9/2023</t>
  </si>
  <si>
    <t>Đường ĐA.01 (từ ĐT.DK.01 đến đường ĐX.01), ấp An Ngãi B, xã An Thạnh</t>
  </si>
  <si>
    <t>447/QĐ-SGTVT 14/9/2023</t>
  </si>
  <si>
    <t>Đường ĐA.01 (liên ấp 6-7-8), giai đoạn 2, xã Mỹ Hưng</t>
  </si>
  <si>
    <t>408/QĐ-SGTVT, ngày 10/6/2022</t>
  </si>
  <si>
    <t xml:space="preserve">Nâng cấp, sửa chữa Hội trường UBND xã thành nhà văn hóa  xã Mỹ Hưng </t>
  </si>
  <si>
    <t>338/QĐ-SXD ngày
25/12/2023</t>
  </si>
  <si>
    <t>Đường ĐA.03 (Đường Đầu Giồng), ấp Thạnh Khương B - Giai đoạn 2, xã Mỹ Hưng</t>
  </si>
  <si>
    <t>481/QĐ-SGTVT 28/9/2023</t>
  </si>
  <si>
    <t xml:space="preserve"> Xã Vang Quới Đông</t>
  </si>
  <si>
    <t>Đường 6/12 ấp Vinh Trung ĐC.05 (đoạn từ nhà bà Phan Thanh Loan đến nhà ông Ba Bò), xã Vang Quới Đông</t>
  </si>
  <si>
    <t>UBND xã Vang Quới Đông</t>
  </si>
  <si>
    <t>167/QĐ-UBND, ngày 19/12/2019; 409/QĐ-UBND, ngày 29/4/2022</t>
  </si>
  <si>
    <t xml:space="preserve"> Đường ĐC.06 (từ nhà Ông Võ Văn Tần đến Quốc lộ 57B), xã Vang Quới Đông</t>
  </si>
  <si>
    <t>60/QĐ-UBND, ngày 06/11/2020</t>
  </si>
  <si>
    <t>Gia cố mặt đê Sông Tiền, xã Vang Quới Đông</t>
  </si>
  <si>
    <t>414/QĐ-SGTVT,
ngày10/6/2022</t>
  </si>
  <si>
    <t>Xây dựng Nhà văn hóa ấp Vinh Tân, Nhà văn hóa ấp Vinh Xương, xã Vang Quới Đông</t>
  </si>
  <si>
    <t>xây mới NVH ấp Vinh Tân,
sửa chữa phòng học làm NVH ấp Vinh Xương</t>
  </si>
  <si>
    <t>315/QĐ-UBND ngày 22/12/2022</t>
  </si>
  <si>
    <t>Đường ĐA 05 (Đoạn từ nhà bà Bùi Thị Đối đến giáp xã Thới Lai), xã Vang Quới Đông</t>
  </si>
  <si>
    <t>550/QĐ-UBND ngày 31/10/2022</t>
  </si>
  <si>
    <t>Đường ĐA 02 (Đoạn từ ĐX 03 đến cầu Hai Chó), xã Vang Quới Đông</t>
  </si>
  <si>
    <t>551/QĐ-UBND ngày 31/10/2022</t>
  </si>
  <si>
    <t>Đường ĐC.03 (Đường Tổ 4 ấp Vinh Xương) Đoạn từ Quốc lộ 57B đến nhà ông Nguyễn Văn Hưng</t>
  </si>
  <si>
    <t>160/QĐ-UBND, 05/10/2023</t>
  </si>
  <si>
    <t xml:space="preserve"> Xã Phú Long</t>
  </si>
  <si>
    <t>Đường nhà chung ĐC.01 (đoạn còn lại); điểm đầu đất Ông Nguyễn Văn Hoàng, điểm cuối nhà Ông Nguyễn Văn Sĩ, xã Phú Long</t>
  </si>
  <si>
    <t>647/QĐ-UBND,  ngày 19/12/2019; 167/QĐ-UBND, ngày 29/4/2022</t>
  </si>
  <si>
    <t xml:space="preserve"> Đường ĐC.03 (từ đê Tây đến bến đò Rạch Gừa), xã Phú Long</t>
  </si>
  <si>
    <t>33/QĐ-UBND, ngày 28/7/2020</t>
  </si>
  <si>
    <t xml:space="preserve"> Đường ĐC.05 (Đường vào trường Mẫu giáo Rạch Gừa), xã Phú Long</t>
  </si>
  <si>
    <t>34/QĐ-UBND, 28/7/2020</t>
  </si>
  <si>
    <t>Đường ĐA07 (liên ấp Giồng Tre-Ao Vuông), xã Phú Long</t>
  </si>
  <si>
    <t>391/QĐ-SGTVT,
ngày 09/6/2022</t>
  </si>
  <si>
    <t>Đường liên ấp Giồng Kiến -Ao Vuông (ĐA 08), xã Phú Long</t>
  </si>
  <si>
    <t>44/QĐ-UBND, ngày 30/10/2022</t>
  </si>
  <si>
    <t>Đường Kênh 2/9 (ĐC 06), xã Phú Long</t>
  </si>
  <si>
    <t>45/QĐ-UBND, ngày 30/10/2022</t>
  </si>
  <si>
    <t>Xã Đại Hòa Lộc</t>
  </si>
  <si>
    <t>Đường ĐN (Đường Đê Tây), xã Đại Hòa Lộc</t>
  </si>
  <si>
    <t>415/QĐ-SGTVT;  ngày 10/6/2022</t>
  </si>
  <si>
    <t>Đường ĐC.09, xã Đại Hòa Lộc</t>
  </si>
  <si>
    <t>392/QĐ-SGTVT; ngày 09/6/2022</t>
  </si>
  <si>
    <t>Đường Đông ấp Mắc Miễu (ĐA 06), xã Đại Hòa Lộc</t>
  </si>
  <si>
    <t>UBND xã Đại Hòa Lộc</t>
  </si>
  <si>
    <t>403/QĐ-UBND, ngày 26/10/2022</t>
  </si>
  <si>
    <t>Đường cây Muối (ĐA.01), xã Đại Hòa Lộc</t>
  </si>
  <si>
    <t>Đường ĐA.08 (từ ĐX.05 đến nhà bà Nguyễn Thị Gọn), xã An Hiệp</t>
  </si>
  <si>
    <t>202/QĐ-UBND, ngày 20/12/2019; 100/QĐ-UBND, ngày 29/4/2022</t>
  </si>
  <si>
    <t>Đường ĐC.09 (từ ĐX.02 đến nhà ông Phan Văn Phương), xã An Hiệp</t>
  </si>
  <si>
    <t>611/QĐ-SGTVT, ngày 29/10/2020; 355/QĐ-SGTVT, ngày 8/7/2021</t>
  </si>
  <si>
    <t>Đường ĐA.06 (Đoạn từ đường ĐX.07 đến nhà ông Nguyễn Văn Năm), xã An Hiệp</t>
  </si>
  <si>
    <t>413/QĐ-SGTVT, ngày 10/6/2022</t>
  </si>
  <si>
    <t>Đường ĐX.07 (Từ đường Chợ An Bình đến đường ĐA.06, ấp An Bình), ấp An Bình, xã An Hiệp</t>
  </si>
  <si>
    <t>806/QĐ-SGTVT, ngày 19/12/2022</t>
  </si>
  <si>
    <t>Đường ĐC.02 (từ đường ĐH.DK.04 đến nhà bà Trần Thị Hồng tổ NDTQ số 9), ấp Giồng Gạch; Đường ĐC.08 (Từ ngã 3 An Điền Bé đến Kênh Thanh Niên), xã An Hiệp</t>
  </si>
  <si>
    <t>620/QĐ-SGTVT, ngày 11/12/2023</t>
  </si>
  <si>
    <t>Đường ĐA.02 (đoạn từ Chợ An Hiệp đến bến đường nước), ấp Giồng Lớn, xã An Hiệp</t>
  </si>
  <si>
    <t>54/QĐ-SGTVT, ngày 01/02/2024</t>
  </si>
  <si>
    <t>Đường ĐA.04 (đoạn từ ĐA.03 đến ĐX.03), xã An Hiệp, huyện Ba Tri</t>
  </si>
  <si>
    <t>Đường ĐC.04, xã An Đức</t>
  </si>
  <si>
    <t>135/QĐ-UBND, ngày 20/12/2019; 114/QĐ-UBND, ngày 28/4/2022</t>
  </si>
  <si>
    <t>Đường ĐA.03 (từ ĐX.02 đến Đặng Văn Mông, ấp Giồng Cốc), xã An Đức</t>
  </si>
  <si>
    <t>617/QĐ-SGTVT, ngày 04/11/2020; 369/QĐ-SGTVT, ngày 14/7/2021</t>
  </si>
  <si>
    <t>Đường ĐA.03 (Đoạn từ  nhà Ông Đặng Văn Mông đến  nhà Ông Nguyễn Hữu Trí),  xã An Đức</t>
  </si>
  <si>
    <t>393/QĐ-SGTVT, ngày 09/6/2022</t>
  </si>
  <si>
    <t>Đường ĐA.08 (từ HL.14  đến khu dân cư An Đức), ấp Giồng Ké; Đường ĐA.09 (từ ĐX.03 đến ĐA.04), ấp Giồng Cả, xã An Đức</t>
  </si>
  <si>
    <t>807/QĐ-SGTVT, ngày 19/12/2022</t>
  </si>
  <si>
    <t>Đường ĐX.03 (từ HL.14 đến đất ông Nguyễn Văn Năm), xã An Đức</t>
  </si>
  <si>
    <t>380/QĐ-SGTVT, 17/8/2023</t>
  </si>
  <si>
    <t>Đường ĐC.07, ấp Giồng Chuối, xã An Đức</t>
  </si>
  <si>
    <t>501/QĐ-SGTVT, 16/10/2023</t>
  </si>
  <si>
    <t>Xây dựng nhà văn hóa ấp Giồng Cục và ấp Giồng Chuối, xã An Đức</t>
  </si>
  <si>
    <t>Sửa chữa nhà văn hóa ấp Giồng Ké, ấp Giồng Cốc, ấp Giồng Cà và ấp Bến Đình, xã An Đức</t>
  </si>
  <si>
    <t>Xã An Hòa Tây</t>
  </si>
  <si>
    <t>Đường ĐA.07 (từ ĐH.ĐK.03 đến ĐA.08), xã An Hòa Tây</t>
  </si>
  <si>
    <t>UBND xã An Hòa Tây</t>
  </si>
  <si>
    <t>355/QĐ-UBND, ngày 20/12/2019; 37/QĐ-UBND, ngày 28/4/2022</t>
  </si>
  <si>
    <t>Xây dựng cầu Giồng Bằng, xã An Hòa Tây</t>
  </si>
  <si>
    <t>616/QĐ-SGTVT, ngày 04/11/2020; 374QĐ-SGTVT, ngày 16/7/2021</t>
  </si>
  <si>
    <t>Đường ĐA.01 (Đoạn từ ĐH.DK.01 đến giáp ranh xã Vĩnh An), xã An Hòa Tây</t>
  </si>
  <si>
    <t>397/QĐ-SGTVT, ngày 09/6/2022</t>
  </si>
  <si>
    <t>Đường ĐX.04 (đoạn từ ĐHDK.03 đến ĐX.03), xã An Hòa Tây</t>
  </si>
  <si>
    <t>808/QĐ-SGTVT, ngày 19/12/2022</t>
  </si>
  <si>
    <t>Đường ĐA.08 (từ ĐH.16 đến ĐH.DK.01), ấp An Phú 2, xã An Hòa Tây</t>
  </si>
  <si>
    <t xml:space="preserve"> 609/QĐ-SGTVT,  06/12/2023</t>
  </si>
  <si>
    <t>Đường ĐN.04 (từ ĐH.DK.01 đến ĐA.05), ấp An Bình 1; Đường ĐN.09 (từ ĐH.DK.01 đến ĐH.16), ấp An Bình 2 - An Phú 2, xã An Hòa Tây</t>
  </si>
  <si>
    <t>Đường ĐN.05 (từ ĐH.DK.01 đến ĐA.05), ấp An Bình 1; Đường ĐN.09 (từ ĐH.DK.01 đến ĐH.16) và nhánh rẽ, ấp An Phú 2, xã An Hòa Tây</t>
  </si>
  <si>
    <t>605/QĐ-SGTVT ngày 06/12/2023</t>
  </si>
  <si>
    <t>Đường ĐX.02 (đoạn từ ĐX.01 đến rạch xã Diệu), xã An Hoà Tây, huyện Ba Tri</t>
  </si>
  <si>
    <t>Đường ĐN.06 (từ HL12 đến ĐH.DK.03), Xã An Ngãi Tây</t>
  </si>
  <si>
    <t>UBND xã An Ngãi Tây</t>
  </si>
  <si>
    <t>109/QĐ-UBND, 27/12/2019; 17/QĐ-UBND, 29/4/2022</t>
  </si>
  <si>
    <t>Đường ĐA.04 (từ HL.12 đến ngã ba nhà ông Dương Văn Gấm), xã An Ngãi Tây</t>
  </si>
  <si>
    <t>618/QĐ-SGTVT, ngày 04/11/2020; 373/QĐ-SGTVT, ngày 16/7/2021</t>
  </si>
  <si>
    <t>Đường ĐN.03 (Đoạn từ ĐX.03 đến ĐN.07);  Đường ĐN.07 (Đoạn từ ĐX.04 đến ĐN.03), xã An Ngãi Tây</t>
  </si>
  <si>
    <t>396/QĐ-SGTVT, ngày 09/6/2022</t>
  </si>
  <si>
    <t>Đường ĐA.05 (từ ĐA.04 đến ra cánh đồng), ấp An Hòa;  Đường ĐA.06 (từ ranh xã An Ngãi Trung đến ra cánh đồng), ấp An Qui, xã An Ngãi Tây</t>
  </si>
  <si>
    <t>xã An Ngãi Tây</t>
  </si>
  <si>
    <t>809/QĐ-SGTVT, ngày 19/12/2022</t>
  </si>
  <si>
    <t>Đường ĐX.04 (đoạn từ HL.12 đến giáp xã Tân Hưng) ), xã An Ngãi Tây, huyện Ba Tri</t>
  </si>
  <si>
    <t>Đường ĐA.06 (đoạn từ ĐX.03 đến giáp ranh xã An Ngãi Trung), ấp An Qui, xã An Ngãi Tây</t>
  </si>
  <si>
    <t>523/QĐ-SGTVT 23/10/2023</t>
  </si>
  <si>
    <t>Đường ĐN.02 (đoạn từ ĐX.03 đến giáp ranh xã An Ngãi Trung), ấp An Qui, xã An Ngãi Tây</t>
  </si>
  <si>
    <t>534/QĐ-SGTVT 30/10/2023</t>
  </si>
  <si>
    <t>Đường ĐA.01 (từ HL 12 đến ĐX.02), ấp Giồng Trôm, xã An Ngãi Tây</t>
  </si>
  <si>
    <t>Xã Bảo Thạnh</t>
  </si>
  <si>
    <t>Đường ĐA.03 (đoạn từ ĐH.16 đến ĐT.ĐK.02), ấp Thạnh Bình - Thạnh Thọ, xã Bảo Thạnh</t>
  </si>
  <si>
    <t>612/QĐ-SGTVT, ngày 30/10/2020; 357/QĐ-SGTVT, ngày 8/7/2021</t>
  </si>
  <si>
    <t>Đường ĐX.05 (Đoạn từ ĐH.16 đến ĐH.DK.05), xã Bảo Thạnh</t>
  </si>
  <si>
    <t>394/QĐ-SGTVT, ngày 09/6/2022</t>
  </si>
  <si>
    <t>Đường ĐC.03 (từ  ĐH.16 đến ĐX.03 và nhánh rẽ đến ĐH.16)), ấp Thạnh Phước, xã Bảo Thạnh</t>
  </si>
  <si>
    <t>xã Bảo Thạnh</t>
  </si>
  <si>
    <t>810/QĐ-SGTVT, ngày 19/12/2022</t>
  </si>
  <si>
    <t>Đường ĐA.03 (từ ĐX.04 đến cầu Rạch Nò), ấp Thạnh Thọ - Thạnh Qúy, xã Bảo Thạnh</t>
  </si>
  <si>
    <t>646/QĐ-SGTVT ngày 18/12/2023</t>
  </si>
  <si>
    <t>Đường ĐX.03 (đoạn từ HL.16 nhà ông Tạo đến HL.14 Cầu Nhỏ)</t>
  </si>
  <si>
    <t>604/QĐ-SGTVT 06/12/2023</t>
  </si>
  <si>
    <t>Đường ĐX.03 (từ ĐH.DK.04 đến Kênh thủy lợi), ấp Thạnh Nghĩa, xã Bảo Thạnh</t>
  </si>
  <si>
    <t>Xã An Thủy</t>
  </si>
  <si>
    <t>Đường ĐX.02 (từ ĐX.01 đến Khu 37), xã An Thủy</t>
  </si>
  <si>
    <t>635/QĐ-SGTVT, ngày 11/11/2020; 381/QĐ-SGTVT, ngày 22/7/2021</t>
  </si>
  <si>
    <t>Đường ĐX.02 (Đoạn từ Rạch Sân Banh đến giáp ranh xã An Thủy), xã An Thủy</t>
  </si>
  <si>
    <t>412/QĐ-SGTVT, ngày 10/6/2022</t>
  </si>
  <si>
    <t>Đường ĐN.01 (Đoạn 1: từ ĐA.01 đến QL 57 C; Đoạn 2: từ đất ông Lưu Văn Téo đến sau Chợ Bãi Ngao); Đường ĐN.02 (từ ĐX.01 đến đê biển)ấp An Lợi - An Thạnh, xã An Thủy</t>
  </si>
  <si>
    <t>xã An Thủy</t>
  </si>
  <si>
    <t>811/QĐ-SGTVT, ngày 19/12/2022</t>
  </si>
  <si>
    <t>Đường ĐN.03 (từ đầu HL16 đến đường ĐA.02); Đường ĐN.04 (từ đầu QL57C đến HL.16); Đường ĐN.05 (từ đầu đất ông Lê Văn Khai đến đường ĐX.05) ấp An Bình, xã An Thủy</t>
  </si>
  <si>
    <t>812/QĐ-SGTVT, ngày 19/12/2022</t>
  </si>
  <si>
    <t>Nhà văn hóa ấp An Thạnh, An Bình và An Thới, xã An Thủy</t>
  </si>
  <si>
    <t>Xã Bảo Thuận</t>
  </si>
  <si>
    <t>Đường ĐX.02 (từ cầu số 1 đến Km 1+000), ấp Thạnh Hải, xã Bảo Thuận</t>
  </si>
  <si>
    <t>621/QĐ-SGTVT, ngày 05/11/2020; 375/QĐ-SGTVT, ngày 16/7/2021</t>
  </si>
  <si>
    <t>Đường ĐA.05 (Đoạn từ ĐX.03 đến giáp ranh xã Tân Thủy), xã Bảo Thuận</t>
  </si>
  <si>
    <t>395QĐ-SGTVT, ngày 09/6/2022</t>
  </si>
  <si>
    <t>Đường ĐX.02 (từ Km 1+000 đến Rạch đường tắc), xã Bảo Thuận</t>
  </si>
  <si>
    <t>813QĐ-SGTVT, ngày19/12/2022</t>
  </si>
  <si>
    <t>Đường ĐA.10 (từ  ĐX.03 đến kênh giáp ranh xã Phước Ngãi), ấp Thạnh Tân</t>
  </si>
  <si>
    <t>572/QĐ-SGTVT ngày 21/11/20</t>
  </si>
  <si>
    <t>Xã Tân Xuân</t>
  </si>
  <si>
    <t>Đường ĐA.02 (từ Quán Đồng quê đến Km 0+650), xã Tân Xuân</t>
  </si>
  <si>
    <t>620/QĐ-SGTVT, ngày 05/11/2020; 347QĐ-SGTVT, ngày 6/7/2021</t>
  </si>
  <si>
    <t>Đường ĐA.02 (Đoạn từ Km 0+650 đến giáp  xã Tân Mỹ), xã Tân Xuân</t>
  </si>
  <si>
    <t>402/QĐ-SGTVT, ngày 10/6/2022</t>
  </si>
  <si>
    <t>Đường ĐX.03 (từ ĐT.883  đến ĐX.03), ấp Tân Điểm, xã Tân Xuân</t>
  </si>
  <si>
    <t>814/QĐ-SGTVT, ngày 19/12/2022</t>
  </si>
  <si>
    <t>Đường ĐX.04 ( từ ĐT883 đến ĐX.03), xã Tân Xuân</t>
  </si>
  <si>
    <t>Đường ĐA.04 (đoạn từ ĐX.04 đến nhà ông Lê Văn Hoàng), ấp Tân Điểm, xã Tân Xuân</t>
  </si>
  <si>
    <t>477/QĐ-SGTVT, 26/9/2023</t>
  </si>
  <si>
    <t>Xã Tân Hưng</t>
  </si>
  <si>
    <t>Đường ĐN.04 (từ nhà Tư Bình đến giáp xã Hưng Lễ), xã Tân Hưng</t>
  </si>
  <si>
    <t>577/QĐ-SGTVT, ngày 13/10/2020; 348/QĐ-SGTVT, ngày 6/7/2021</t>
  </si>
  <si>
    <t>Đường ĐA.03 (Đoạn từ ĐN.07 đến giáp xã Hưng Nhượng, huyện Giồng Trôm); Đường ĐA.04 (Đoạn từ ĐX.07 đến ĐX.08 và nhánh rẽ), xã Tân Hưng</t>
  </si>
  <si>
    <t>401/QĐ-SGTVT, ngày 10/6/2022</t>
  </si>
  <si>
    <t>Đường ĐX.02 (từ ĐX.01 đến cầu ba Linh), xã Tân Hưng</t>
  </si>
  <si>
    <t>815/QĐ-SGTVT, ngày 19/12/2022</t>
  </si>
  <si>
    <t>Đường ĐX.01 ( từ cầu Kênh Xáng đến giáp xã An Ngãi Tây), xã Tân Hưng</t>
  </si>
  <si>
    <t>586/QĐ-SGTVT ngày 28/11/2023</t>
  </si>
  <si>
    <t>Đường ĐN.10 (từ ĐX.01 đến ĐX.04), ấp Tân Khai, xã Tân Hưng</t>
  </si>
  <si>
    <t>615/QĐ-SGTVT ngày 08/12/2023</t>
  </si>
  <si>
    <t>Xã Hưng Phong</t>
  </si>
  <si>
    <t>Đường ĐC.02 (liên tổ 2-18 ấp 1) xã Hưng Phong</t>
  </si>
  <si>
    <t>UBND xã Hưng Phong</t>
  </si>
  <si>
    <t xml:space="preserve">Cấp C </t>
  </si>
  <si>
    <t>174/QĐ-UBND, ngày 30/9/2020; 405/QĐ-UBND, ngày 17/8/2022</t>
  </si>
  <si>
    <t xml:space="preserve"> Đường ĐC.03 (Đoạn từ nhà Ông Hở đến nhà Ông Thức), xã Hưng Phong</t>
  </si>
  <si>
    <t>399/QĐ-SGTVT , ngày 09/6/2022</t>
  </si>
  <si>
    <t>Đường  ĐC.05, xã Hưng Phong</t>
  </si>
  <si>
    <t xml:space="preserve"> 410/QĐ-SGTVT, ngày 10/6/2022</t>
  </si>
  <si>
    <t>Cầu Rạch Thóc, xã Hưng Phong</t>
  </si>
  <si>
    <t>828/QĐ-SGTVT, ngày 23/12/2022</t>
  </si>
  <si>
    <t>Cải tạo Hội trường UBND xã thành Hội trường văn hóa xã, xây dựng các phòng chức năng và các hạng mục phụ, xã Hưng Phong</t>
  </si>
  <si>
    <t>321/QĐ-SXD ngày 23/12/2022</t>
  </si>
  <si>
    <t xml:space="preserve"> Đường ĐC.01 (đường đê bao quanh cồn Đeo ấp 1), xã Hưng Phong</t>
  </si>
  <si>
    <t>831/QĐ-SGTVT, ngày 26/12/2022</t>
  </si>
  <si>
    <t>Xây dựng cầu tổ NDTQ số 23 ấp Hưng Long, xã Hưng Phong</t>
  </si>
  <si>
    <t>Hỗ trợ việc làm bền vững</t>
  </si>
  <si>
    <t>Sở Lao đông thương binh và Xã hội</t>
  </si>
  <si>
    <t xml:space="preserve">Ghi chú: đối với các công trình chưa có quyết định đầu tư thì tổng mức đầu tư và năng lực thiết kế là tính toán sơ bộ, sẽ được xác định cụ thể trong quá trình lập BC kinh tế kỹ thuật.
</t>
  </si>
  <si>
    <t xml:space="preserve">Kế hoạch đầu tư công trung hạn
 giai đoạn từ năm 2021 đến năm 2025
</t>
  </si>
  <si>
    <t xml:space="preserve">Kế hoạch đầu tư công trung hạn giai đoạn từ năm 2021 đến năm 2025
</t>
  </si>
  <si>
    <t>Phụ lục IV</t>
  </si>
  <si>
    <t>197/QĐ-UBND xã, 30/8/2023</t>
  </si>
  <si>
    <t>64/QĐ-SGTVT ngày 25/01/2021</t>
  </si>
  <si>
    <t>304/QĐ-SGTVT ngày 17/6/2021</t>
  </si>
  <si>
    <t>156/QĐ-UBND ngày 23/10/2020</t>
  </si>
  <si>
    <t>436/QĐ-SXD ngày 13/11/2020</t>
  </si>
  <si>
    <t>341/QĐ-SGTVT ngày 01/7/2021</t>
  </si>
  <si>
    <t>141/QĐ-UBND ngày 23/10/2020</t>
  </si>
  <si>
    <t>356/QĐ-SGTVT ngày 08/7/2021</t>
  </si>
  <si>
    <t>476/QĐ-SGTVT ngày 10/9/2021</t>
  </si>
  <si>
    <t>BIỂU TỔNG HỢP</t>
  </si>
  <si>
    <t xml:space="preserve"> ĐIỀU CHỈNH, BỔ SUNG KẾ HOẠCH ĐẦU TƯ CÔNG TRUNG HẠN NGUỒN VỐN NGÂN SÁCH NHÀ NƯỚC TỈNH BẾN TRE GIAI ĐOẠN 2021 - 2025</t>
  </si>
  <si>
    <t>Tổng số vốn</t>
  </si>
  <si>
    <t>Nước ngoài</t>
  </si>
  <si>
    <t>Nước  ngoài</t>
  </si>
  <si>
    <t>Vốn đầu tư trong cân đối ngân sách địa phương</t>
  </si>
  <si>
    <t>- Đầu tư trong cân đối theo tiêu chí, định mức quy định tại Quyết định số 26/2020/QĐ-TTg</t>
  </si>
  <si>
    <t>- Đầu tư từ nguồn thu sử dụng đất</t>
  </si>
  <si>
    <t>- Đầu tư từ nguồn thu xổ số kiến thiết</t>
  </si>
  <si>
    <t>- Bội chi ngân sách địa phương</t>
  </si>
  <si>
    <t>Vốn đầu tư từ ngân sách Trung ương</t>
  </si>
  <si>
    <t>- Đầu tư theo các chương trình mục tiêu</t>
  </si>
  <si>
    <t>VỐN ĐẦU TƯ TỪ CÁC NGUỒN TĂNG THU NGÂN SÁCH ĐỊA PHƯƠNG</t>
  </si>
  <si>
    <t>- Đầu tư từ nguồn tăng thu sử dụng đất</t>
  </si>
  <si>
    <t>- Đầu tư từ nguồn tăng thu xổ số kiến thiết</t>
  </si>
  <si>
    <t>- Đầu tư từ nguồn dự phòng Ngân sách Trung ương</t>
  </si>
  <si>
    <t>- Đầu tư từ nguồn Chương trình phục hồi và phát triền kinh tế - xã hội</t>
  </si>
  <si>
    <t xml:space="preserve">(*) Bao gồm các danh mục Chương trình/Đề án và Kế hoạch </t>
  </si>
  <si>
    <t>- Đầu tư từ nguồn cân đối ngân sách cấp tỉnh</t>
  </si>
  <si>
    <t>- Đầu tư từ nguồn tăng thu ngân sách địa phương</t>
  </si>
  <si>
    <t>- Đầu tư từ nguồn tăng thu tiết kiệm chi</t>
  </si>
  <si>
    <t>- Đầu tư từ nguồn thu kết dư ngân sách năm 2020</t>
  </si>
  <si>
    <t>VỐN KẾ HOẠCH TRUNG HẠN 2021-2025</t>
  </si>
  <si>
    <t>- Đầu tư theo Chương trình mục tiêu quốc gia</t>
  </si>
  <si>
    <t>+ Đầu tư theo các chương trình mục tiêu Quốc gia Nông thôn mới</t>
  </si>
  <si>
    <t>+ Đầu tư theo các chương trình mục tiêu Quốc gia Giảm nghèo bền vững</t>
  </si>
  <si>
    <t>Kế hoạch đầu tư công trung hạn giai đoạn 2021-2025 được phê duyệt</t>
  </si>
  <si>
    <t>Điều chỉnh kế hoạch đầu tư công trung hạn giai đoạn 2021-2025</t>
  </si>
  <si>
    <t>Điều chỉnh nội bộ</t>
  </si>
  <si>
    <t>Điều chỉnh, bổ sung</t>
  </si>
  <si>
    <t>Điều chỉnh giảm kế hoạch vốn</t>
  </si>
  <si>
    <t>Bổ sung nguồn vốn</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</si>
</sst>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3" formatCode="_(* #,##0.00_);_(* \(#,##0.00\);_(* &quot;-&quot;??_);_(@_)"/>
    <numFmt numFmtId="164" formatCode="&quot;\&quot;#,##0.00;[Red]&quot;\&quot;&quot;\&quot;&quot;\&quot;&quot;\&quot;&quot;\&quot;&quot;\&quot;\-#,##0.00"/>
    <numFmt numFmtId="165" formatCode="&quot;\&quot;#,##0;[Red]&quot;\&quot;\-#,##0"/>
    <numFmt numFmtId="166" formatCode="&quot;VND&quot;#,##0_);[Red]\(&quot;VND&quot;#,##0\)"/>
    <numFmt numFmtId="167" formatCode="_-* #,##0.00\ _V_N_D_-;\-* #,##0.00\ _V_N_D_-;_-* &quot;-&quot;??\ _V_N_D_-;_-@_-"/>
    <numFmt numFmtId="168" formatCode="#,##0.00\ &quot;F&quot;;[Red]\-#,##0.00\ &quot;F&quot;"/>
    <numFmt numFmtId="169" formatCode="0_);\(0\)"/>
    <numFmt numFmtId="170" formatCode="_(* #,##0_);_(* \(#,##0\);_(* &quot;-&quot;??_);_(@_)"/>
    <numFmt numFmtId="171" formatCode="#,##0;\(#,##0\)"/>
    <numFmt numFmtId="172" formatCode="&quot;$&quot;#,##0\ ;\(&quot;$&quot;#,##0\)"/>
    <numFmt numFmtId="173" formatCode="\t0.00%"/>
    <numFmt numFmtId="174" formatCode="_-* #,##0.00_-;\-* #,##0.00_-;_-* &quot;-&quot;??_-;_-@_-"/>
    <numFmt numFmtId="175" formatCode="\t#\ ??/??"/>
    <numFmt numFmtId="176" formatCode="#,##0\ &quot;€&quot;;[Red]\-#,##0\ &quot;€&quot;"/>
    <numFmt numFmtId="177" formatCode="#,##0\ &quot;F&quot;;[Red]\-#,##0\ &quot;F&quot;"/>
    <numFmt numFmtId="178" formatCode="m/d"/>
    <numFmt numFmtId="179" formatCode="&quot;ß&quot;#,##0;\-&quot;&quot;&quot;ß&quot;&quot;&quot;#,##0"/>
    <numFmt numFmtId="180" formatCode="_-&quot;€&quot;* #,##0.00_-;\-&quot;€&quot;* #,##0.00_-;_-&quot;€&quot;* &quot;-&quot;??_-;_-@_-"/>
    <numFmt numFmtId="181" formatCode="0;[Red]0"/>
    <numFmt numFmtId="182" formatCode="_-* #,##0\ &quot;F&quot;_-;\-* #,##0\ &quot;F&quot;_-;_-* &quot;-&quot;\ &quot;F&quot;_-;_-@_-"/>
    <numFmt numFmtId="183" formatCode="#,##0.00\ &quot;F&quot;;\-#,##0.00\ &quot;F&quot;"/>
    <numFmt numFmtId="184" formatCode="_-* #,##0_-;\-* #,##0_-;_-* &quot;-&quot;_-;_-@_-"/>
    <numFmt numFmtId="185" formatCode="&quot;\&quot;#,##0;[Red]&quot;\&quot;&quot;\&quot;\-#,##0"/>
    <numFmt numFmtId="186" formatCode="&quot;\&quot;#,##0.00;[Red]&quot;\&quot;\-#,##0.00"/>
    <numFmt numFmtId="187" formatCode="_-&quot;€&quot;* #,##0_-;\-&quot;€&quot;* #,##0_-;_-&quot;€&quot;* &quot;-&quot;_-;_-@_-"/>
    <numFmt numFmtId="188" formatCode="#,##0;[Red]#,##0"/>
    <numFmt numFmtId="189" formatCode="_ * #,##0.00_ ;_ * \-#,##0.00_ ;_ * &quot;-&quot;??_ ;_ @_ "/>
    <numFmt numFmtId="190" formatCode="_-* #,##0\ _V_N_D_-;\-* #,##0\ _V_N_D_-;_-* &quot;-&quot;??\ _V_N_D_-;_-@_-"/>
    <numFmt numFmtId="191" formatCode="#,##0.0"/>
    <numFmt numFmtId="192" formatCode="#.#"/>
  </numFmts>
  <fonts count="14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4"/>
      <name val="Times New Roman"/>
      <family val="1"/>
    </font>
    <font>
      <b/>
      <sz val="12"/>
      <name val="Times New Roman"/>
      <family val="1"/>
    </font>
    <font>
      <sz val="12"/>
      <name val="Times New Roman"/>
      <family val="1"/>
    </font>
    <font>
      <sz val="11"/>
      <name val="Times New Roman"/>
      <family val="1"/>
    </font>
    <font>
      <b/>
      <sz val="14"/>
      <name val="Times New Roman"/>
      <family val="1"/>
    </font>
    <font>
      <i/>
      <sz val="14"/>
      <name val="Times New Roman"/>
      <family val="1"/>
    </font>
    <font>
      <sz val="11"/>
      <name val="Calibri"/>
      <family val="2"/>
      <scheme val="minor"/>
    </font>
    <font>
      <b/>
      <i/>
      <sz val="14"/>
      <name val="Times New Roman"/>
      <family val="1"/>
    </font>
    <font>
      <b/>
      <sz val="16"/>
      <name val="Times New Roman"/>
      <family val="1"/>
    </font>
    <font>
      <i/>
      <sz val="16"/>
      <name val="Times New Roman"/>
      <family val="1"/>
    </font>
    <font>
      <b/>
      <u/>
      <sz val="16"/>
      <name val="Times New Roman"/>
      <family val="1"/>
    </font>
    <font>
      <sz val="16"/>
      <name val="Times New Roman"/>
      <family val="1"/>
    </font>
    <font>
      <sz val="16"/>
      <name val="Calibri"/>
      <family val="2"/>
      <scheme val="minor"/>
    </font>
    <font>
      <b/>
      <sz val="20"/>
      <name val="Times New Roman"/>
      <family val="1"/>
    </font>
    <font>
      <i/>
      <sz val="20"/>
      <name val="Times New Roman"/>
      <family val="1"/>
    </font>
    <font>
      <i/>
      <sz val="11"/>
      <name val="Calibri"/>
      <family val="2"/>
      <scheme val="minor"/>
    </font>
    <font>
      <u/>
      <sz val="16"/>
      <name val="Times New Roman"/>
      <family val="1"/>
    </font>
    <font>
      <b/>
      <sz val="18"/>
      <name val="Times New Roman"/>
      <family val="1"/>
    </font>
    <font>
      <b/>
      <i/>
      <sz val="16"/>
      <name val="Times New Roman"/>
      <family val="1"/>
    </font>
    <font>
      <b/>
      <sz val="11"/>
      <color theme="1"/>
      <name val="Calibri"/>
      <family val="2"/>
      <scheme val="minor"/>
    </font>
    <font>
      <i/>
      <sz val="14"/>
      <color theme="1"/>
      <name val="Times New Roman"/>
      <family val="1"/>
    </font>
    <font>
      <b/>
      <sz val="13"/>
      <name val="Times New Roman"/>
      <family val="1"/>
    </font>
    <font>
      <i/>
      <sz val="12"/>
      <color theme="1"/>
      <name val="Times New Roman"/>
      <family val="1"/>
    </font>
    <font>
      <sz val="14"/>
      <color theme="1"/>
      <name val="Times New Roman"/>
      <family val="1"/>
    </font>
    <font>
      <sz val="22"/>
      <color indexed="8"/>
      <name val="Times New Roman"/>
      <family val="1"/>
    </font>
    <font>
      <b/>
      <sz val="22"/>
      <color indexed="8"/>
      <name val="Times New Roman"/>
      <family val="1"/>
    </font>
    <font>
      <sz val="14"/>
      <color indexed="8"/>
      <name val="Times New Roman"/>
      <family val="1"/>
    </font>
    <font>
      <sz val="13"/>
      <color indexed="8"/>
      <name val="Times New Roman"/>
      <family val="1"/>
    </font>
    <font>
      <b/>
      <sz val="14"/>
      <color indexed="8"/>
      <name val="Times New Roman"/>
      <family val="1"/>
    </font>
    <font>
      <i/>
      <sz val="16"/>
      <color indexed="8"/>
      <name val="Times New Roman"/>
      <family val="1"/>
    </font>
    <font>
      <i/>
      <sz val="18"/>
      <color theme="1"/>
      <name val="Times New Roman"/>
      <family val="1"/>
    </font>
    <font>
      <b/>
      <i/>
      <sz val="18"/>
      <color indexed="8"/>
      <name val="Times New Roman"/>
      <family val="1"/>
    </font>
    <font>
      <b/>
      <sz val="18"/>
      <color indexed="8"/>
      <name val="Times New Roman"/>
      <family val="1"/>
    </font>
    <font>
      <i/>
      <sz val="18"/>
      <color indexed="8"/>
      <name val="Times New Roman"/>
      <family val="1"/>
    </font>
    <font>
      <i/>
      <sz val="18"/>
      <name val="Times New Roman"/>
      <family val="1"/>
    </font>
    <font>
      <sz val="18"/>
      <color theme="1"/>
      <name val="Times New Roman"/>
      <family val="1"/>
    </font>
    <font>
      <b/>
      <sz val="13"/>
      <color theme="1"/>
      <name val="Times New Roman"/>
      <family val="1"/>
    </font>
    <font>
      <i/>
      <sz val="13"/>
      <color theme="1"/>
      <name val="Times New Roman"/>
      <family val="1"/>
    </font>
    <font>
      <sz val="13"/>
      <color theme="1"/>
      <name val="Times New Roman"/>
      <family val="1"/>
    </font>
    <font>
      <b/>
      <i/>
      <sz val="13"/>
      <color theme="1"/>
      <name val="Times New Roman"/>
      <family val="1"/>
    </font>
    <font>
      <b/>
      <sz val="14"/>
      <color theme="1"/>
      <name val="Times New Roman"/>
      <family val="1"/>
    </font>
    <font>
      <b/>
      <i/>
      <sz val="14"/>
      <color theme="1"/>
      <name val="Times New Roman"/>
      <family val="1"/>
    </font>
    <font>
      <b/>
      <sz val="13"/>
      <color rgb="FFFFFFFF"/>
      <name val="Times New Roman"/>
      <family val="1"/>
    </font>
    <font>
      <b/>
      <i/>
      <sz val="13"/>
      <color rgb="FFFFFFFF"/>
      <name val="Times New Roman"/>
      <family val="1"/>
    </font>
    <font>
      <i/>
      <sz val="13"/>
      <color rgb="FFFFFFFF"/>
      <name val="Times New Roman"/>
      <family val="1"/>
    </font>
    <font>
      <sz val="13"/>
      <color rgb="FFFFFFFF"/>
      <name val="Times New Roman"/>
      <family val="1"/>
    </font>
    <font>
      <sz val="20"/>
      <name val="Times New Roman"/>
      <family val="1"/>
    </font>
    <font>
      <sz val="10"/>
      <name val="Times New Roman"/>
      <family val="1"/>
    </font>
    <font>
      <b/>
      <i/>
      <sz val="20"/>
      <name val="Times New Roman"/>
      <family val="1"/>
    </font>
    <font>
      <i/>
      <sz val="22"/>
      <name val="Times New Roman"/>
      <family val="1"/>
    </font>
    <font>
      <sz val="22"/>
      <name val="Times New Roman"/>
      <family val="1"/>
    </font>
    <font>
      <sz val="22"/>
      <color indexed="9"/>
      <name val="Times New Roman"/>
      <family val="1"/>
    </font>
    <font>
      <b/>
      <i/>
      <sz val="18"/>
      <name val="Times New Roman"/>
      <family val="1"/>
    </font>
    <font>
      <i/>
      <sz val="16"/>
      <color theme="1"/>
      <name val="Times New Roman"/>
      <family val="1"/>
    </font>
    <font>
      <sz val="16"/>
      <color theme="1"/>
      <name val="Times New Roman"/>
      <family val="1"/>
    </font>
    <font>
      <i/>
      <sz val="17"/>
      <name val="Times New Roman"/>
      <family val="1"/>
    </font>
    <font>
      <sz val="17"/>
      <name val="Times New Roman"/>
      <family val="1"/>
    </font>
    <font>
      <i/>
      <sz val="23"/>
      <name val="Times New Roman"/>
      <family val="1"/>
    </font>
    <font>
      <sz val="23"/>
      <name val="Times New Roman"/>
      <family val="1"/>
    </font>
    <font>
      <sz val="23"/>
      <color indexed="9"/>
      <name val="Times New Roman"/>
      <family val="1"/>
    </font>
    <font>
      <sz val="14"/>
      <color indexed="8"/>
      <name val="Calibri"/>
      <family val="2"/>
    </font>
    <font>
      <b/>
      <i/>
      <sz val="23"/>
      <name val="Times New Roman"/>
      <family val="1"/>
    </font>
    <font>
      <sz val="18"/>
      <name val="Times New Roman"/>
      <family val="1"/>
    </font>
    <font>
      <sz val="18"/>
      <color indexed="9"/>
      <name val="Times New Roman"/>
      <family val="1"/>
    </font>
    <font>
      <sz val="14"/>
      <color indexed="9"/>
      <name val="Times New Roman"/>
      <family val="1"/>
    </font>
    <font>
      <sz val="20"/>
      <color indexed="9"/>
      <name val="Times New Roman"/>
      <family val="1"/>
    </font>
    <font>
      <i/>
      <sz val="14"/>
      <color rgb="FFFF0000"/>
      <name val="Times New Roman"/>
      <family val="1"/>
    </font>
    <font>
      <b/>
      <sz val="14"/>
      <color rgb="FFFF0000"/>
      <name val="Times New Roman"/>
      <family val="1"/>
    </font>
    <font>
      <b/>
      <i/>
      <sz val="22"/>
      <color indexed="8"/>
      <name val="Times New Roman"/>
      <family val="1"/>
    </font>
    <font>
      <i/>
      <sz val="22"/>
      <color indexed="8"/>
      <name val="Times New Roman"/>
      <family val="1"/>
    </font>
    <font>
      <sz val="10"/>
      <name val="Arial"/>
      <family val="2"/>
    </font>
    <font>
      <sz val="11"/>
      <color indexed="8"/>
      <name val="Calibri"/>
      <family val="2"/>
    </font>
    <font>
      <sz val="12"/>
      <name val="¹UAAA¼"/>
      <charset val="128"/>
    </font>
    <font>
      <sz val="14"/>
      <name val=".VnArial"/>
      <family val="2"/>
    </font>
    <font>
      <sz val="12"/>
      <name val="¹UAAA¼"/>
      <charset val="129"/>
    </font>
    <font>
      <sz val="10"/>
      <name val=" "/>
      <charset val="134"/>
    </font>
    <font>
      <b/>
      <sz val="10"/>
      <name val=".VnTimeH"/>
      <family val="2"/>
    </font>
    <font>
      <b/>
      <sz val="10"/>
      <name val=".VnArial"/>
      <family val="2"/>
    </font>
    <font>
      <sz val="10"/>
      <name val="VNtimes new roman"/>
      <charset val="134"/>
    </font>
    <font>
      <b/>
      <sz val="10"/>
      <name val=".VnTime"/>
      <family val="2"/>
    </font>
    <font>
      <b/>
      <sz val="18"/>
      <name val="Arial"/>
      <family val="2"/>
    </font>
    <font>
      <sz val="13"/>
      <name val=".VnTime"/>
      <family val="2"/>
    </font>
    <font>
      <sz val="14"/>
      <name val=".VnTimeH"/>
      <family val="2"/>
    </font>
    <font>
      <b/>
      <sz val="12"/>
      <name val="Arial"/>
      <family val="2"/>
    </font>
    <font>
      <sz val="12"/>
      <name val="바탕체"/>
      <charset val="134"/>
    </font>
    <font>
      <sz val="12"/>
      <name val=".VnTime"/>
      <family val="2"/>
    </font>
    <font>
      <sz val="12"/>
      <name val="Courier"/>
      <family val="3"/>
    </font>
    <font>
      <sz val="8"/>
      <name val="Arial"/>
      <family val="2"/>
    </font>
    <font>
      <i/>
      <sz val="10"/>
      <name val=".VnTime"/>
      <family val="2"/>
    </font>
    <font>
      <sz val="14"/>
      <name val="뼻뮝"/>
      <charset val="129"/>
    </font>
    <font>
      <sz val="12"/>
      <name val="Arial"/>
      <family val="2"/>
    </font>
    <font>
      <sz val="7"/>
      <name val="Small Fonts"/>
      <family val="2"/>
    </font>
    <font>
      <sz val="11"/>
      <color theme="1"/>
      <name val="Calibri"/>
      <family val="2"/>
      <scheme val="minor"/>
    </font>
    <font>
      <b/>
      <sz val="11"/>
      <name val=".VnTimeH"/>
      <family val="2"/>
    </font>
    <font>
      <sz val="11"/>
      <color theme="1"/>
      <name val="Calibri"/>
      <family val="2"/>
    </font>
    <font>
      <sz val="12"/>
      <name val="바탕체"/>
      <charset val="129"/>
    </font>
    <font>
      <sz val="11"/>
      <color indexed="8"/>
      <name val="Helvetica Neue"/>
      <charset val="134"/>
    </font>
    <font>
      <sz val="9"/>
      <name val="Arial"/>
      <family val="2"/>
    </font>
    <font>
      <sz val="12"/>
      <name val="뼻뮝"/>
      <charset val="129"/>
    </font>
    <font>
      <sz val="10"/>
      <name val="굴림체"/>
      <charset val="129"/>
    </font>
    <font>
      <b/>
      <vertAlign val="superscript"/>
      <sz val="14"/>
      <name val="Times New Roman"/>
      <family val="1"/>
    </font>
    <font>
      <vertAlign val="superscript"/>
      <sz val="12"/>
      <name val="Times New Roman"/>
      <family val="1"/>
    </font>
    <font>
      <vertAlign val="superscript"/>
      <sz val="14"/>
      <color indexed="8"/>
      <name val="Times New Roman"/>
      <family val="1"/>
    </font>
    <font>
      <i/>
      <vertAlign val="superscript"/>
      <sz val="16"/>
      <color indexed="8"/>
      <name val="Times New Roman"/>
      <family val="1"/>
    </font>
    <font>
      <i/>
      <sz val="16"/>
      <color indexed="10"/>
      <name val="Times New Roman"/>
      <family val="1"/>
    </font>
    <font>
      <b/>
      <vertAlign val="superscript"/>
      <sz val="14"/>
      <color theme="1"/>
      <name val="Times New Roman"/>
      <family val="1"/>
    </font>
    <font>
      <vertAlign val="superscript"/>
      <sz val="14"/>
      <name val="Times New Roman"/>
      <family val="1"/>
    </font>
    <font>
      <b/>
      <vertAlign val="superscript"/>
      <sz val="16"/>
      <name val="Times New Roman"/>
      <family val="1"/>
    </font>
    <font>
      <vertAlign val="superscript"/>
      <sz val="18"/>
      <name val="Times New Roman"/>
      <family val="1"/>
    </font>
    <font>
      <sz val="11"/>
      <color theme="1"/>
      <name val="Calibri"/>
      <family val="2"/>
      <scheme val="minor"/>
    </font>
    <font>
      <sz val="10"/>
      <name val="Helv"/>
      <family val="2"/>
    </font>
    <font>
      <sz val="11"/>
      <color theme="1"/>
      <name val="Calibri"/>
      <family val="2"/>
      <charset val="163"/>
      <scheme val="minor"/>
    </font>
    <font>
      <sz val="14"/>
      <name val="Calibri"/>
      <family val="2"/>
      <scheme val="minor"/>
    </font>
    <font>
      <sz val="10"/>
      <name val=".VnArial"/>
      <family val="2"/>
    </font>
    <font>
      <vertAlign val="superscript"/>
      <sz val="16"/>
      <name val="Times New Roman"/>
      <family val="1"/>
    </font>
    <font>
      <b/>
      <u/>
      <sz val="14"/>
      <name val="Times New Roman"/>
      <family val="1"/>
    </font>
    <font>
      <sz val="11"/>
      <name val="Calibri"/>
      <family val="2"/>
      <scheme val="minor"/>
    </font>
    <font>
      <u/>
      <sz val="14"/>
      <name val="Calibri"/>
      <family val="2"/>
      <scheme val="minor"/>
    </font>
    <font>
      <b/>
      <sz val="17"/>
      <name val="Times New Roman"/>
      <family val="1"/>
    </font>
    <font>
      <b/>
      <i/>
      <sz val="17"/>
      <name val="Times New Roman"/>
      <family val="1"/>
    </font>
    <font>
      <sz val="17"/>
      <color theme="1"/>
      <name val="Times New Roman"/>
      <family val="1"/>
    </font>
    <font>
      <u/>
      <sz val="17"/>
      <name val="Times New Roman"/>
      <family val="1"/>
    </font>
    <font>
      <b/>
      <u/>
      <sz val="17"/>
      <name val="Times New Roman"/>
      <family val="1"/>
    </font>
    <font>
      <sz val="16"/>
      <color rgb="FFFF0000"/>
      <name val="Times New Roman"/>
      <family val="1"/>
    </font>
    <font>
      <sz val="14"/>
      <color rgb="FFFF0000"/>
      <name val="Times New Roman"/>
      <family val="1"/>
    </font>
    <font>
      <b/>
      <sz val="9"/>
      <color indexed="81"/>
      <name val="Tahoma"/>
      <family val="2"/>
    </font>
    <font>
      <sz val="9"/>
      <color indexed="81"/>
      <name val="Tahoma"/>
      <family val="2"/>
    </font>
    <font>
      <sz val="17"/>
      <color theme="1"/>
      <name val="Calibri"/>
      <family val="2"/>
      <scheme val="minor"/>
    </font>
    <font>
      <i/>
      <sz val="17"/>
      <color theme="1"/>
      <name val="Times New Roman"/>
      <family val="1"/>
    </font>
    <font>
      <sz val="11"/>
      <color theme="1"/>
      <name val="Calibri"/>
      <charset val="134"/>
      <scheme val="minor"/>
    </font>
    <font>
      <b/>
      <i/>
      <sz val="16"/>
      <color rgb="FFFF0000"/>
      <name val="Times New Roman"/>
      <family val="1"/>
    </font>
    <font>
      <sz val="13"/>
      <name val="Times New Roman"/>
      <family val="1"/>
    </font>
    <font>
      <b/>
      <sz val="16"/>
      <color rgb="FFFF0000"/>
      <name val="Times New Roman"/>
      <family val="1"/>
    </font>
    <font>
      <u/>
      <sz val="16"/>
      <color rgb="FFFF0000"/>
      <name val="Times New Roman"/>
      <family val="1"/>
    </font>
    <font>
      <sz val="15"/>
      <name val="Times New Roman"/>
      <family val="1"/>
    </font>
    <font>
      <sz val="14"/>
      <color indexed="81"/>
      <name val="Tahoma"/>
      <family val="2"/>
    </font>
    <font>
      <b/>
      <sz val="14"/>
      <color indexed="81"/>
      <name val="Tahoma"/>
      <family val="2"/>
    </font>
    <font>
      <u/>
      <sz val="14"/>
      <name val="Times New Roman"/>
      <family val="1"/>
    </font>
    <font>
      <b/>
      <sz val="12"/>
      <color indexed="81"/>
      <name val="Tahoma"/>
      <family val="2"/>
    </font>
    <font>
      <sz val="12"/>
      <color indexed="81"/>
      <name val="Tahoma"/>
      <family val="2"/>
    </font>
    <font>
      <sz val="14"/>
      <name val="VNI-Times"/>
    </font>
    <font>
      <sz val="14"/>
      <name val="VNI-Helve"/>
    </font>
    <font>
      <b/>
      <i/>
      <u/>
      <sz val="14"/>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rgb="FFFFFFFF"/>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hair">
        <color auto="1"/>
      </left>
      <right style="hair">
        <color auto="1"/>
      </right>
      <top/>
      <bottom style="hair">
        <color auto="1"/>
      </bottom>
      <diagonal/>
    </border>
    <border>
      <left style="thin">
        <color auto="1"/>
      </left>
      <right/>
      <top style="thin">
        <color auto="1"/>
      </top>
      <bottom/>
      <diagonal/>
    </border>
    <border>
      <left style="thin">
        <color auto="1"/>
      </left>
      <right/>
      <top/>
      <bottom style="thin">
        <color auto="1"/>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185">
    <xf numFmtId="0" fontId="0" fillId="0" borderId="0"/>
    <xf numFmtId="43" fontId="113"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7" fillId="0" borderId="0"/>
    <xf numFmtId="3" fontId="80" fillId="0" borderId="4" applyNumberFormat="0" applyAlignment="0">
      <alignment horizontal="center" vertical="center"/>
    </xf>
    <xf numFmtId="0" fontId="75"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3" fontId="81" fillId="0" borderId="4" applyNumberFormat="0" applyAlignment="0">
      <alignment horizontal="center" vertical="center"/>
    </xf>
    <xf numFmtId="2" fontId="74" fillId="0" borderId="0" applyFont="0" applyFill="0" applyBorder="0" applyAlignment="0" applyProtection="0"/>
    <xf numFmtId="43" fontId="113" fillId="0" borderId="0" applyFont="0" applyFill="0" applyBorder="0" applyAlignment="0" applyProtection="0"/>
    <xf numFmtId="166" fontId="82" fillId="0" borderId="0"/>
    <xf numFmtId="0" fontId="76" fillId="0" borderId="0" applyFont="0" applyFill="0" applyBorder="0" applyAlignment="0" applyProtection="0"/>
    <xf numFmtId="168" fontId="85" fillId="0" borderId="7">
      <alignment horizontal="right" vertical="center"/>
    </xf>
    <xf numFmtId="0" fontId="79" fillId="0" borderId="0" applyFont="0" applyFill="0" applyBorder="0" applyAlignment="0" applyProtection="0"/>
    <xf numFmtId="170" fontId="86" fillId="0" borderId="1" applyNumberFormat="0" applyFont="0" applyBorder="0" applyAlignment="0">
      <alignment horizontal="center" vertical="center"/>
    </xf>
    <xf numFmtId="0" fontId="87" fillId="0" borderId="0" applyProtection="0"/>
    <xf numFmtId="0" fontId="78" fillId="0" borderId="0" applyFont="0" applyFill="0" applyBorder="0" applyAlignment="0" applyProtection="0"/>
    <xf numFmtId="0" fontId="76" fillId="0" borderId="0"/>
    <xf numFmtId="0" fontId="76" fillId="0" borderId="0"/>
    <xf numFmtId="43" fontId="74" fillId="0" borderId="0" applyFont="0" applyFill="0" applyBorder="0" applyAlignment="0" applyProtection="0"/>
    <xf numFmtId="167" fontId="74"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89" fillId="0" borderId="0" applyFont="0" applyFill="0" applyBorder="0" applyAlignment="0" applyProtection="0"/>
    <xf numFmtId="43" fontId="74" fillId="0" borderId="0" applyFont="0" applyFill="0" applyBorder="0" applyAlignment="0" applyProtection="0"/>
    <xf numFmtId="171" fontId="51" fillId="0" borderId="0"/>
    <xf numFmtId="3" fontId="74" fillId="0" borderId="0" applyFont="0" applyFill="0" applyBorder="0" applyAlignment="0" applyProtection="0"/>
    <xf numFmtId="172" fontId="74" fillId="0" borderId="0" applyFont="0" applyFill="0" applyBorder="0" applyAlignment="0" applyProtection="0"/>
    <xf numFmtId="173" fontId="74" fillId="0" borderId="0"/>
    <xf numFmtId="0" fontId="74" fillId="0" borderId="0" applyFont="0" applyFill="0" applyBorder="0" applyAlignment="0" applyProtection="0"/>
    <xf numFmtId="0" fontId="75" fillId="0" borderId="0"/>
    <xf numFmtId="175" fontId="74" fillId="0" borderId="0"/>
    <xf numFmtId="38" fontId="91" fillId="4" borderId="0" applyNumberFormat="0" applyBorder="0" applyAlignment="0" applyProtection="0"/>
    <xf numFmtId="0" fontId="87" fillId="0" borderId="15" applyNumberFormat="0" applyAlignment="0" applyProtection="0">
      <alignment horizontal="left" vertical="center"/>
    </xf>
    <xf numFmtId="0" fontId="75" fillId="0" borderId="0"/>
    <xf numFmtId="0" fontId="87" fillId="0" borderId="8">
      <alignment horizontal="left" vertical="center"/>
    </xf>
    <xf numFmtId="0" fontId="84" fillId="0" borderId="0" applyProtection="0"/>
    <xf numFmtId="3" fontId="83" fillId="0" borderId="4" applyNumberFormat="0" applyAlignment="0">
      <alignment horizontal="center" vertical="center"/>
    </xf>
    <xf numFmtId="10" fontId="91" fillId="5" borderId="3" applyNumberFormat="0" applyBorder="0" applyAlignment="0" applyProtection="0"/>
    <xf numFmtId="0" fontId="75" fillId="0" borderId="0"/>
    <xf numFmtId="3" fontId="92" fillId="0" borderId="4" applyNumberFormat="0" applyAlignment="0">
      <alignment horizontal="center" vertical="center"/>
    </xf>
    <xf numFmtId="178" fontId="74" fillId="0" borderId="0" applyFont="0" applyFill="0" applyBorder="0" applyAlignment="0" applyProtection="0"/>
    <xf numFmtId="179" fontId="74" fillId="0" borderId="0" applyFont="0" applyFill="0" applyBorder="0" applyAlignment="0" applyProtection="0"/>
    <xf numFmtId="40" fontId="93" fillId="0" borderId="0" applyFont="0" applyFill="0" applyBorder="0" applyAlignment="0" applyProtection="0"/>
    <xf numFmtId="0" fontId="94" fillId="0" borderId="0" applyNumberFormat="0" applyFont="0" applyFill="0" applyAlignment="0"/>
    <xf numFmtId="0" fontId="51" fillId="0" borderId="0"/>
    <xf numFmtId="37" fontId="95" fillId="0" borderId="0"/>
    <xf numFmtId="0" fontId="96" fillId="0" borderId="0"/>
    <xf numFmtId="0" fontId="113" fillId="0" borderId="0"/>
    <xf numFmtId="3" fontId="97" fillId="0" borderId="16" applyNumberFormat="0" applyAlignment="0">
      <alignment horizontal="left" wrapText="1"/>
    </xf>
    <xf numFmtId="0" fontId="74" fillId="0" borderId="0"/>
    <xf numFmtId="0" fontId="113" fillId="0" borderId="0"/>
    <xf numFmtId="0" fontId="113" fillId="0" borderId="0"/>
    <xf numFmtId="0" fontId="74" fillId="0" borderId="0"/>
    <xf numFmtId="0" fontId="75" fillId="0" borderId="0"/>
    <xf numFmtId="182" fontId="85" fillId="0" borderId="7">
      <alignment horizontal="center"/>
    </xf>
    <xf numFmtId="0" fontId="75" fillId="0" borderId="0"/>
    <xf numFmtId="0" fontId="75" fillId="0" borderId="0"/>
    <xf numFmtId="0" fontId="75" fillId="0" borderId="0"/>
    <xf numFmtId="0" fontId="113" fillId="0" borderId="0"/>
    <xf numFmtId="0" fontId="74" fillId="0" borderId="0"/>
    <xf numFmtId="0" fontId="98" fillId="0" borderId="0"/>
    <xf numFmtId="165" fontId="99" fillId="0" borderId="0" applyFont="0" applyFill="0" applyBorder="0" applyAlignment="0" applyProtection="0"/>
    <xf numFmtId="0" fontId="113" fillId="0" borderId="0"/>
    <xf numFmtId="0" fontId="75" fillId="0" borderId="0"/>
    <xf numFmtId="0" fontId="113" fillId="0" borderId="0"/>
    <xf numFmtId="0" fontId="113" fillId="0" borderId="0"/>
    <xf numFmtId="0" fontId="113" fillId="0" borderId="0"/>
    <xf numFmtId="0" fontId="113" fillId="0" borderId="0"/>
    <xf numFmtId="0" fontId="113" fillId="0" borderId="0"/>
    <xf numFmtId="0" fontId="74" fillId="0" borderId="0"/>
    <xf numFmtId="0" fontId="74" fillId="0" borderId="0"/>
    <xf numFmtId="0" fontId="74" fillId="0" borderId="0"/>
    <xf numFmtId="0" fontId="74" fillId="0" borderId="0"/>
    <xf numFmtId="0" fontId="100" fillId="0" borderId="0" applyNumberFormat="0" applyFill="0" applyBorder="0" applyProtection="0">
      <alignment vertical="top"/>
    </xf>
    <xf numFmtId="0" fontId="89"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xf numFmtId="0" fontId="75" fillId="0" borderId="0"/>
    <xf numFmtId="10" fontId="74" fillId="0" borderId="0" applyFont="0" applyFill="0" applyBorder="0" applyAlignment="0" applyProtection="0"/>
    <xf numFmtId="9" fontId="74" fillId="0" borderId="0" applyFont="0" applyFill="0" applyBorder="0" applyAlignment="0" applyProtection="0"/>
    <xf numFmtId="184" fontId="101" fillId="0" borderId="0" applyFont="0" applyFill="0" applyBorder="0" applyAlignment="0" applyProtection="0"/>
    <xf numFmtId="177" fontId="85" fillId="0" borderId="0"/>
    <xf numFmtId="183" fontId="85" fillId="0" borderId="3"/>
    <xf numFmtId="0" fontId="77" fillId="0" borderId="0" applyNumberFormat="0" applyFill="0" applyBorder="0" applyAlignment="0" applyProtection="0"/>
    <xf numFmtId="0" fontId="79" fillId="0" borderId="0" applyFont="0" applyFill="0" applyBorder="0" applyAlignment="0" applyProtection="0"/>
    <xf numFmtId="0" fontId="6" fillId="0" borderId="0">
      <alignment vertical="center"/>
    </xf>
    <xf numFmtId="38" fontId="93"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9" fontId="88" fillId="0" borderId="0" applyFont="0" applyFill="0" applyBorder="0" applyAlignment="0" applyProtection="0"/>
    <xf numFmtId="0" fontId="102" fillId="0" borderId="0"/>
    <xf numFmtId="185" fontId="74" fillId="0" borderId="0" applyFont="0" applyFill="0" applyBorder="0" applyAlignment="0" applyProtection="0"/>
    <xf numFmtId="164" fontId="74" fillId="0" borderId="0" applyFont="0" applyFill="0" applyBorder="0" applyAlignment="0" applyProtection="0"/>
    <xf numFmtId="186" fontId="99" fillId="0" borderId="0" applyFont="0" applyFill="0" applyBorder="0" applyAlignment="0" applyProtection="0"/>
    <xf numFmtId="0" fontId="103" fillId="0" borderId="0"/>
    <xf numFmtId="0" fontId="94" fillId="0" borderId="0"/>
    <xf numFmtId="174" fontId="101" fillId="0" borderId="0" applyFont="0" applyFill="0" applyBorder="0" applyAlignment="0" applyProtection="0"/>
    <xf numFmtId="187" fontId="101" fillId="0" borderId="0" applyFont="0" applyFill="0" applyBorder="0" applyAlignment="0" applyProtection="0"/>
    <xf numFmtId="176" fontId="90" fillId="0" borderId="0" applyFont="0" applyFill="0" applyBorder="0" applyAlignment="0" applyProtection="0"/>
    <xf numFmtId="180" fontId="101" fillId="0" borderId="0" applyFont="0" applyFill="0" applyBorder="0" applyAlignment="0" applyProtection="0"/>
    <xf numFmtId="0" fontId="74" fillId="0" borderId="0"/>
    <xf numFmtId="0" fontId="74" fillId="0" borderId="0"/>
    <xf numFmtId="0" fontId="74" fillId="0" borderId="0"/>
    <xf numFmtId="43" fontId="75" fillId="0" borderId="0" applyFont="0" applyFill="0" applyBorder="0" applyAlignment="0" applyProtection="0"/>
    <xf numFmtId="0" fontId="6" fillId="0" borderId="0"/>
    <xf numFmtId="0" fontId="114" fillId="0" borderId="0"/>
    <xf numFmtId="0" fontId="3" fillId="0" borderId="0"/>
    <xf numFmtId="43" fontId="115" fillId="0" borderId="0" applyFont="0" applyFill="0" applyBorder="0" applyAlignment="0" applyProtection="0"/>
    <xf numFmtId="189" fontId="75" fillId="0" borderId="0" applyFont="0" applyFill="0" applyBorder="0" applyAlignment="0" applyProtection="0"/>
    <xf numFmtId="43" fontId="3" fillId="0" borderId="0" applyFont="0" applyFill="0" applyBorder="0" applyAlignment="0" applyProtection="0"/>
    <xf numFmtId="0" fontId="4" fillId="0" borderId="0"/>
    <xf numFmtId="0" fontId="117" fillId="0" borderId="0"/>
    <xf numFmtId="43" fontId="75" fillId="0" borderId="0" applyFont="0" applyFill="0" applyBorder="0" applyAlignment="0" applyProtection="0"/>
    <xf numFmtId="0" fontId="75" fillId="0" borderId="0"/>
    <xf numFmtId="0" fontId="74" fillId="0" borderId="0"/>
    <xf numFmtId="0" fontId="101" fillId="0" borderId="0"/>
    <xf numFmtId="0" fontId="98" fillId="0" borderId="0"/>
    <xf numFmtId="0" fontId="74"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9" fontId="13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7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5" fillId="0" borderId="0" applyFont="0" applyFill="0" applyBorder="0" applyAlignment="0" applyProtection="0"/>
    <xf numFmtId="0" fontId="114" fillId="0" borderId="0"/>
  </cellStyleXfs>
  <cellXfs count="1443">
    <xf numFmtId="0" fontId="0" fillId="0" borderId="0" xfId="0"/>
    <xf numFmtId="3" fontId="4" fillId="2" borderId="3" xfId="86" applyNumberFormat="1" applyFont="1" applyFill="1" applyBorder="1" applyAlignment="1">
      <alignment horizontal="center" vertical="center" wrapText="1"/>
    </xf>
    <xf numFmtId="3" fontId="4" fillId="0" borderId="3" xfId="86" applyNumberFormat="1" applyFont="1" applyBorder="1" applyAlignment="1">
      <alignment horizontal="center" vertical="center" wrapText="1"/>
    </xf>
    <xf numFmtId="0" fontId="23" fillId="0" borderId="0" xfId="0" applyFont="1"/>
    <xf numFmtId="3" fontId="6" fillId="0" borderId="3" xfId="86" applyNumberFormat="1" applyFont="1" applyBorder="1" applyAlignment="1">
      <alignment horizontal="center" vertical="center" wrapText="1"/>
    </xf>
    <xf numFmtId="1" fontId="6" fillId="0" borderId="3" xfId="86" applyNumberFormat="1" applyFont="1" applyBorder="1" applyAlignment="1">
      <alignment horizontal="center" vertical="center"/>
    </xf>
    <xf numFmtId="1" fontId="5" fillId="0" borderId="3" xfId="86" applyNumberFormat="1" applyFont="1" applyBorder="1" applyAlignment="1">
      <alignment horizontal="center" vertical="center" wrapText="1"/>
    </xf>
    <xf numFmtId="1" fontId="6" fillId="0" borderId="3" xfId="86" applyNumberFormat="1" applyFont="1" applyBorder="1" applyAlignment="1">
      <alignment horizontal="center" vertical="center" wrapText="1"/>
    </xf>
    <xf numFmtId="1" fontId="6" fillId="0" borderId="3" xfId="86" applyNumberFormat="1" applyFont="1" applyBorder="1" applyAlignment="1">
      <alignment horizontal="right" vertical="center"/>
    </xf>
    <xf numFmtId="1" fontId="25" fillId="0" borderId="3" xfId="86" applyNumberFormat="1" applyFont="1" applyBorder="1" applyAlignment="1">
      <alignment horizontal="center" vertical="center"/>
    </xf>
    <xf numFmtId="1" fontId="25" fillId="0" borderId="3" xfId="86" applyNumberFormat="1" applyFont="1" applyBorder="1" applyAlignment="1">
      <alignment horizontal="center" vertical="center" wrapText="1"/>
    </xf>
    <xf numFmtId="1" fontId="5" fillId="0" borderId="3" xfId="86" applyNumberFormat="1" applyFont="1" applyBorder="1" applyAlignment="1">
      <alignment horizontal="right" vertical="center"/>
    </xf>
    <xf numFmtId="1" fontId="25" fillId="0" borderId="3" xfId="86" applyNumberFormat="1" applyFont="1" applyBorder="1" applyAlignment="1">
      <alignment vertical="center" wrapText="1"/>
    </xf>
    <xf numFmtId="49" fontId="25" fillId="0" borderId="3" xfId="86" applyNumberFormat="1" applyFont="1" applyBorder="1" applyAlignment="1">
      <alignment horizontal="center" vertical="center"/>
    </xf>
    <xf numFmtId="1" fontId="25" fillId="0" borderId="3" xfId="86" applyNumberFormat="1" applyFont="1" applyBorder="1" applyAlignment="1">
      <alignment horizontal="left" vertical="center" wrapText="1"/>
    </xf>
    <xf numFmtId="49" fontId="8" fillId="0" borderId="3" xfId="86" applyNumberFormat="1" applyFont="1" applyBorder="1" applyAlignment="1">
      <alignment horizontal="center" vertical="center"/>
    </xf>
    <xf numFmtId="1" fontId="4" fillId="0" borderId="3" xfId="86" applyNumberFormat="1" applyFont="1" applyBorder="1" applyAlignment="1">
      <alignment horizontal="left" vertical="center" wrapText="1"/>
    </xf>
    <xf numFmtId="1" fontId="8" fillId="0" borderId="3" xfId="86" applyNumberFormat="1" applyFont="1" applyBorder="1" applyAlignment="1">
      <alignment horizontal="left" vertical="center" wrapText="1"/>
    </xf>
    <xf numFmtId="49" fontId="6" fillId="0" borderId="3" xfId="86" applyNumberFormat="1" applyFont="1" applyBorder="1" applyAlignment="1">
      <alignment horizontal="center" vertical="center"/>
    </xf>
    <xf numFmtId="1" fontId="6" fillId="0" borderId="3" xfId="86" applyNumberFormat="1" applyFont="1" applyBorder="1" applyAlignment="1">
      <alignment vertical="center" wrapText="1"/>
    </xf>
    <xf numFmtId="1" fontId="4" fillId="0" borderId="3" xfId="86" applyNumberFormat="1" applyFont="1" applyBorder="1" applyAlignment="1">
      <alignment vertical="center" wrapText="1"/>
    </xf>
    <xf numFmtId="0" fontId="26" fillId="0" borderId="0" xfId="0" applyFont="1"/>
    <xf numFmtId="0" fontId="27" fillId="0" borderId="0" xfId="0" applyFont="1" applyAlignment="1">
      <alignment vertical="center" wrapText="1" readingOrder="1"/>
    </xf>
    <xf numFmtId="0" fontId="27" fillId="0" borderId="0" xfId="0" applyFont="1" applyAlignment="1">
      <alignment vertical="center" readingOrder="1"/>
    </xf>
    <xf numFmtId="0" fontId="24" fillId="0" borderId="0" xfId="0" applyFont="1" applyAlignment="1">
      <alignment vertical="center" wrapText="1" readingOrder="1"/>
    </xf>
    <xf numFmtId="0" fontId="24" fillId="0" borderId="0" xfId="0" applyFont="1" applyAlignment="1">
      <alignment vertical="center" readingOrder="1"/>
    </xf>
    <xf numFmtId="1" fontId="4" fillId="0" borderId="0" xfId="86" applyNumberFormat="1" applyFont="1" applyAlignment="1">
      <alignment horizontal="right" vertical="center"/>
    </xf>
    <xf numFmtId="0" fontId="27" fillId="0" borderId="0" xfId="0" applyFont="1" applyAlignment="1">
      <alignment horizontal="left" vertical="center" wrapText="1" readingOrder="1"/>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33" fillId="0" borderId="0" xfId="0" applyFont="1" applyAlignment="1">
      <alignment vertical="center" wrapText="1"/>
    </xf>
    <xf numFmtId="0" fontId="30" fillId="0" borderId="0" xfId="0" applyFont="1" applyAlignment="1">
      <alignment vertical="center" wrapText="1"/>
    </xf>
    <xf numFmtId="0" fontId="35" fillId="0" borderId="0" xfId="0" applyFont="1" applyAlignment="1">
      <alignment horizontal="right"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3" xfId="0" applyFont="1" applyBorder="1" applyAlignment="1">
      <alignment horizontal="center" vertical="center" wrapText="1"/>
    </xf>
    <xf numFmtId="0" fontId="32" fillId="0" borderId="3" xfId="0" applyFont="1" applyBorder="1" applyAlignment="1">
      <alignment horizontal="center" vertical="center" wrapText="1"/>
    </xf>
    <xf numFmtId="49" fontId="27" fillId="0" borderId="3" xfId="0" applyNumberFormat="1" applyFont="1" applyBorder="1" applyAlignment="1">
      <alignment horizontal="left" vertical="center" wrapText="1"/>
    </xf>
    <xf numFmtId="49" fontId="32" fillId="0" borderId="3" xfId="0" applyNumberFormat="1" applyFont="1" applyBorder="1" applyAlignment="1">
      <alignment vertical="center" wrapText="1"/>
    </xf>
    <xf numFmtId="49" fontId="9" fillId="0" borderId="3" xfId="0" applyNumberFormat="1" applyFont="1" applyBorder="1" applyAlignment="1">
      <alignment vertical="center" wrapText="1"/>
    </xf>
    <xf numFmtId="49" fontId="8" fillId="0" borderId="3" xfId="0" applyNumberFormat="1" applyFont="1" applyBorder="1" applyAlignment="1">
      <alignment vertical="center" wrapText="1"/>
    </xf>
    <xf numFmtId="0" fontId="30" fillId="0" borderId="3" xfId="0" applyFont="1" applyBorder="1" applyAlignment="1">
      <alignment vertical="center" wrapText="1"/>
    </xf>
    <xf numFmtId="0" fontId="33" fillId="0" borderId="0" xfId="0" applyFont="1" applyAlignment="1">
      <alignment horizontal="center" vertical="center" wrapText="1"/>
    </xf>
    <xf numFmtId="1" fontId="21" fillId="0" borderId="0" xfId="86" applyNumberFormat="1" applyFont="1" applyAlignment="1">
      <alignment vertical="center" wrapText="1"/>
    </xf>
    <xf numFmtId="0" fontId="35" fillId="0" borderId="0" xfId="0" applyFont="1" applyAlignment="1">
      <alignment vertical="center" wrapText="1"/>
    </xf>
    <xf numFmtId="1" fontId="38" fillId="0" borderId="0" xfId="86" applyNumberFormat="1" applyFont="1" applyAlignment="1">
      <alignment vertical="center" wrapText="1"/>
    </xf>
    <xf numFmtId="0" fontId="32" fillId="0" borderId="3" xfId="0" applyFont="1" applyBorder="1" applyAlignment="1">
      <alignment vertical="center" wrapText="1"/>
    </xf>
    <xf numFmtId="0" fontId="9" fillId="0" borderId="3" xfId="0" applyFont="1" applyBorder="1" applyAlignment="1">
      <alignment vertical="center" wrapText="1"/>
    </xf>
    <xf numFmtId="0" fontId="8" fillId="0" borderId="3" xfId="0" applyFont="1" applyBorder="1" applyAlignment="1">
      <alignment vertical="center" wrapText="1"/>
    </xf>
    <xf numFmtId="0" fontId="40" fillId="0" borderId="0" xfId="53" applyFont="1" applyAlignment="1">
      <alignment vertical="center" wrapText="1" readingOrder="1"/>
    </xf>
    <xf numFmtId="0" fontId="41" fillId="0" borderId="0" xfId="53" applyFont="1" applyAlignment="1">
      <alignment vertical="center" wrapText="1" readingOrder="1"/>
    </xf>
    <xf numFmtId="0" fontId="42" fillId="0" borderId="0" xfId="53" applyFont="1" applyAlignment="1">
      <alignment horizontal="left" vertical="center" wrapText="1" readingOrder="1"/>
    </xf>
    <xf numFmtId="0" fontId="42" fillId="0" borderId="0" xfId="53" applyFont="1" applyAlignment="1">
      <alignment horizontal="center" vertical="center" wrapText="1" readingOrder="1"/>
    </xf>
    <xf numFmtId="0" fontId="43" fillId="0" borderId="0" xfId="53" applyFont="1" applyAlignment="1">
      <alignment vertical="center" wrapText="1" readingOrder="1"/>
    </xf>
    <xf numFmtId="0" fontId="42" fillId="0" borderId="0" xfId="53" applyFont="1" applyAlignment="1">
      <alignment vertical="center" wrapText="1" readingOrder="1"/>
    </xf>
    <xf numFmtId="0" fontId="27" fillId="0" borderId="0" xfId="53" applyFont="1" applyAlignment="1">
      <alignment vertical="center" wrapText="1" readingOrder="1"/>
    </xf>
    <xf numFmtId="0" fontId="27" fillId="0" borderId="0" xfId="53" applyFont="1" applyAlignment="1">
      <alignment vertical="center" readingOrder="1"/>
    </xf>
    <xf numFmtId="0" fontId="24" fillId="0" borderId="0" xfId="53" applyFont="1" applyAlignment="1">
      <alignment horizontal="center" vertical="center" wrapText="1" readingOrder="1"/>
    </xf>
    <xf numFmtId="0" fontId="24" fillId="0" borderId="0" xfId="53" applyFont="1" applyAlignment="1">
      <alignment vertical="center" wrapText="1" readingOrder="1"/>
    </xf>
    <xf numFmtId="0" fontId="24" fillId="0" borderId="0" xfId="53" applyFont="1" applyAlignment="1">
      <alignment vertical="center" readingOrder="1"/>
    </xf>
    <xf numFmtId="0" fontId="42" fillId="0" borderId="3" xfId="53" applyFont="1" applyBorder="1" applyAlignment="1">
      <alignment horizontal="center" vertical="center" wrapText="1" readingOrder="1"/>
    </xf>
    <xf numFmtId="0" fontId="40" fillId="0" borderId="3" xfId="53" applyFont="1" applyBorder="1" applyAlignment="1">
      <alignment horizontal="center" vertical="center" wrapText="1" readingOrder="1"/>
    </xf>
    <xf numFmtId="0" fontId="46" fillId="0" borderId="3" xfId="53" applyFont="1" applyBorder="1" applyAlignment="1">
      <alignment horizontal="right" vertical="center" wrapText="1" readingOrder="1"/>
    </xf>
    <xf numFmtId="0" fontId="40" fillId="0" borderId="3" xfId="53" applyFont="1" applyBorder="1" applyAlignment="1">
      <alignment horizontal="left" vertical="center" wrapText="1" readingOrder="1"/>
    </xf>
    <xf numFmtId="0" fontId="40" fillId="0" borderId="2" xfId="53" applyFont="1" applyBorder="1" applyAlignment="1">
      <alignment vertical="center" wrapText="1" readingOrder="1"/>
    </xf>
    <xf numFmtId="0" fontId="40" fillId="0" borderId="3" xfId="53" applyFont="1" applyBorder="1" applyAlignment="1">
      <alignment vertical="center" wrapText="1" readingOrder="1"/>
    </xf>
    <xf numFmtId="0" fontId="43" fillId="0" borderId="3" xfId="53" applyFont="1" applyBorder="1" applyAlignment="1">
      <alignment horizontal="center" vertical="center" wrapText="1" readingOrder="1"/>
    </xf>
    <xf numFmtId="0" fontId="43" fillId="0" borderId="3" xfId="53" applyFont="1" applyBorder="1" applyAlignment="1">
      <alignment vertical="center" wrapText="1" readingOrder="1"/>
    </xf>
    <xf numFmtId="0" fontId="47" fillId="0" borderId="3" xfId="53" applyFont="1" applyBorder="1" applyAlignment="1">
      <alignment horizontal="right" vertical="center" wrapText="1" readingOrder="1"/>
    </xf>
    <xf numFmtId="0" fontId="41" fillId="0" borderId="3" xfId="53" applyFont="1" applyBorder="1" applyAlignment="1">
      <alignment horizontal="center" vertical="center" wrapText="1" readingOrder="1"/>
    </xf>
    <xf numFmtId="0" fontId="41" fillId="0" borderId="3" xfId="53" applyFont="1" applyBorder="1" applyAlignment="1">
      <alignment vertical="center" wrapText="1" readingOrder="1"/>
    </xf>
    <xf numFmtId="0" fontId="48" fillId="0" borderId="3" xfId="53" applyFont="1" applyBorder="1" applyAlignment="1">
      <alignment horizontal="right" vertical="center" wrapText="1" readingOrder="1"/>
    </xf>
    <xf numFmtId="0" fontId="42" fillId="0" borderId="3" xfId="53" applyFont="1" applyBorder="1" applyAlignment="1">
      <alignment vertical="center" wrapText="1"/>
    </xf>
    <xf numFmtId="0" fontId="42" fillId="0" borderId="9" xfId="53" applyFont="1" applyBorder="1" applyAlignment="1">
      <alignment vertical="center" wrapText="1" readingOrder="1"/>
    </xf>
    <xf numFmtId="0" fontId="49" fillId="0" borderId="3" xfId="53" applyFont="1" applyBorder="1" applyAlignment="1">
      <alignment horizontal="right" vertical="center" wrapText="1" readingOrder="1"/>
    </xf>
    <xf numFmtId="49" fontId="43" fillId="0" borderId="3" xfId="54" applyNumberFormat="1" applyFont="1" applyBorder="1" applyAlignment="1">
      <alignment horizontal="left" vertical="center" wrapText="1"/>
    </xf>
    <xf numFmtId="169" fontId="42" fillId="0" borderId="3" xfId="53" applyNumberFormat="1" applyFont="1" applyBorder="1" applyAlignment="1">
      <alignment horizontal="center" vertical="center" wrapText="1" readingOrder="1"/>
    </xf>
    <xf numFmtId="0" fontId="42" fillId="0" borderId="3" xfId="53" applyFont="1" applyBorder="1" applyAlignment="1">
      <alignment vertical="center" wrapText="1" readingOrder="1"/>
    </xf>
    <xf numFmtId="49" fontId="42" fillId="0" borderId="3" xfId="54" applyNumberFormat="1" applyFont="1" applyBorder="1" applyAlignment="1">
      <alignment horizontal="left" vertical="center" wrapText="1"/>
    </xf>
    <xf numFmtId="0" fontId="26" fillId="0" borderId="0" xfId="53" applyFont="1" applyAlignment="1">
      <alignment vertical="center" wrapText="1" readingOrder="1"/>
    </xf>
    <xf numFmtId="0" fontId="26" fillId="0" borderId="0" xfId="53" applyFont="1" applyAlignment="1">
      <alignment vertical="center"/>
    </xf>
    <xf numFmtId="1" fontId="17" fillId="0" borderId="0" xfId="86" applyNumberFormat="1" applyFont="1" applyAlignment="1">
      <alignment vertical="center"/>
    </xf>
    <xf numFmtId="1" fontId="50" fillId="0" borderId="0" xfId="86" applyNumberFormat="1" applyFont="1" applyAlignment="1">
      <alignment vertical="center"/>
    </xf>
    <xf numFmtId="1" fontId="6" fillId="0" borderId="0" xfId="86" applyNumberFormat="1" applyFont="1" applyAlignment="1">
      <alignment vertical="center"/>
    </xf>
    <xf numFmtId="1" fontId="6" fillId="0" borderId="0" xfId="86" applyNumberFormat="1" applyFont="1" applyAlignment="1">
      <alignment horizontal="center" vertical="center"/>
    </xf>
    <xf numFmtId="3" fontId="6" fillId="0" borderId="0" xfId="86" applyNumberFormat="1" applyFont="1" applyAlignment="1">
      <alignment horizontal="center" vertical="center" wrapText="1"/>
    </xf>
    <xf numFmtId="1" fontId="5" fillId="0" borderId="0" xfId="86" applyNumberFormat="1" applyFont="1" applyAlignment="1">
      <alignment vertical="center"/>
    </xf>
    <xf numFmtId="1" fontId="4" fillId="0" borderId="0" xfId="86" applyNumberFormat="1" applyFont="1" applyAlignment="1">
      <alignment vertical="center"/>
    </xf>
    <xf numFmtId="1" fontId="11" fillId="0" borderId="0" xfId="86" applyNumberFormat="1" applyFont="1" applyAlignment="1">
      <alignment vertical="center"/>
    </xf>
    <xf numFmtId="1" fontId="8" fillId="0" borderId="0" xfId="86" applyNumberFormat="1" applyFont="1" applyAlignment="1">
      <alignment vertical="center"/>
    </xf>
    <xf numFmtId="1" fontId="9" fillId="0" borderId="0" xfId="86" applyNumberFormat="1" applyFont="1" applyAlignment="1">
      <alignment vertical="center"/>
    </xf>
    <xf numFmtId="1" fontId="13" fillId="0" borderId="0" xfId="86" applyNumberFormat="1" applyFont="1" applyAlignment="1">
      <alignment vertical="center"/>
    </xf>
    <xf numFmtId="1" fontId="51" fillId="0" borderId="0" xfId="86" applyNumberFormat="1" applyFont="1" applyAlignment="1">
      <alignment horizontal="right" vertical="center"/>
    </xf>
    <xf numFmtId="1" fontId="51" fillId="0" borderId="0" xfId="86" applyNumberFormat="1" applyFont="1" applyAlignment="1">
      <alignment horizontal="center" vertical="center"/>
    </xf>
    <xf numFmtId="1" fontId="51" fillId="0" borderId="0" xfId="86" applyNumberFormat="1" applyFont="1" applyAlignment="1">
      <alignment vertical="center" wrapText="1"/>
    </xf>
    <xf numFmtId="1" fontId="51" fillId="0" borderId="0" xfId="86" applyNumberFormat="1" applyFont="1" applyAlignment="1">
      <alignment horizontal="center" vertical="center" wrapText="1"/>
    </xf>
    <xf numFmtId="1" fontId="51" fillId="0" borderId="0" xfId="86" applyNumberFormat="1" applyFont="1" applyAlignment="1">
      <alignment vertical="center"/>
    </xf>
    <xf numFmtId="1" fontId="5" fillId="0" borderId="3" xfId="86" applyNumberFormat="1" applyFont="1" applyBorder="1" applyAlignment="1">
      <alignment horizontal="center" vertical="center"/>
    </xf>
    <xf numFmtId="1" fontId="5" fillId="0" borderId="3" xfId="86" applyNumberFormat="1" applyFont="1" applyBorder="1" applyAlignment="1">
      <alignment vertical="center" wrapText="1"/>
    </xf>
    <xf numFmtId="1" fontId="8" fillId="0" borderId="3" xfId="86" applyNumberFormat="1" applyFont="1" applyBorder="1" applyAlignment="1">
      <alignment vertical="center" wrapText="1"/>
    </xf>
    <xf numFmtId="1" fontId="4" fillId="0" borderId="3" xfId="86" applyNumberFormat="1" applyFont="1" applyBorder="1" applyAlignment="1">
      <alignment horizontal="center" vertical="center" wrapText="1"/>
    </xf>
    <xf numFmtId="1" fontId="4" fillId="0" borderId="3" xfId="86" applyNumberFormat="1" applyFont="1" applyBorder="1" applyAlignment="1">
      <alignment horizontal="right" vertical="center"/>
    </xf>
    <xf numFmtId="49" fontId="11" fillId="0" borderId="3" xfId="86" applyNumberFormat="1" applyFont="1" applyBorder="1" applyAlignment="1">
      <alignment horizontal="center" vertical="center"/>
    </xf>
    <xf numFmtId="1" fontId="11" fillId="0" borderId="3" xfId="86" applyNumberFormat="1" applyFont="1" applyBorder="1" applyAlignment="1">
      <alignment vertical="center" wrapText="1"/>
    </xf>
    <xf numFmtId="1" fontId="11" fillId="0" borderId="3" xfId="86" applyNumberFormat="1" applyFont="1" applyBorder="1" applyAlignment="1">
      <alignment horizontal="center" vertical="center" wrapText="1"/>
    </xf>
    <xf numFmtId="1" fontId="11" fillId="0" borderId="3" xfId="86" applyNumberFormat="1" applyFont="1" applyBorder="1" applyAlignment="1">
      <alignment horizontal="right" vertical="center"/>
    </xf>
    <xf numFmtId="49" fontId="4" fillId="0" borderId="3" xfId="86" applyNumberFormat="1" applyFont="1" applyBorder="1" applyAlignment="1">
      <alignment horizontal="center" vertical="center"/>
    </xf>
    <xf numFmtId="1" fontId="8" fillId="0" borderId="3" xfId="86" applyNumberFormat="1" applyFont="1" applyBorder="1" applyAlignment="1">
      <alignment horizontal="center" vertical="center" wrapText="1"/>
    </xf>
    <xf numFmtId="1" fontId="8" fillId="0" borderId="3" xfId="86" applyNumberFormat="1" applyFont="1" applyBorder="1" applyAlignment="1">
      <alignment horizontal="right" vertical="center"/>
    </xf>
    <xf numFmtId="1" fontId="9" fillId="0" borderId="3" xfId="86" applyNumberFormat="1" applyFont="1" applyBorder="1" applyAlignment="1">
      <alignment horizontal="center" vertical="center" wrapText="1"/>
    </xf>
    <xf numFmtId="1" fontId="9" fillId="0" borderId="3" xfId="86" applyNumberFormat="1" applyFont="1" applyBorder="1" applyAlignment="1">
      <alignment horizontal="right" vertical="center"/>
    </xf>
    <xf numFmtId="49" fontId="9" fillId="0" borderId="3" xfId="86" applyNumberFormat="1" applyFont="1" applyBorder="1" applyAlignment="1">
      <alignment horizontal="center" vertical="center"/>
    </xf>
    <xf numFmtId="1" fontId="13" fillId="0" borderId="0" xfId="86" applyNumberFormat="1" applyFont="1" applyAlignment="1">
      <alignment horizontal="center" vertical="center"/>
    </xf>
    <xf numFmtId="1" fontId="6" fillId="0" borderId="0" xfId="86" applyNumberFormat="1" applyFont="1" applyAlignment="1">
      <alignment vertical="center" wrapText="1"/>
    </xf>
    <xf numFmtId="1" fontId="6" fillId="0" borderId="0" xfId="86" applyNumberFormat="1" applyFont="1" applyAlignment="1">
      <alignment horizontal="center" vertical="center" wrapText="1"/>
    </xf>
    <xf numFmtId="1" fontId="6" fillId="0" borderId="0" xfId="86" applyNumberFormat="1" applyFont="1" applyAlignment="1">
      <alignment horizontal="right" vertical="center"/>
    </xf>
    <xf numFmtId="1" fontId="4" fillId="0" borderId="3" xfId="86" applyNumberFormat="1" applyFont="1" applyBorder="1" applyAlignment="1">
      <alignment vertical="center"/>
    </xf>
    <xf numFmtId="1" fontId="11" fillId="0" borderId="3" xfId="86" applyNumberFormat="1" applyFont="1" applyBorder="1" applyAlignment="1">
      <alignment vertical="center"/>
    </xf>
    <xf numFmtId="1" fontId="8" fillId="0" borderId="3" xfId="86" applyNumberFormat="1" applyFont="1" applyBorder="1" applyAlignment="1">
      <alignment vertical="center"/>
    </xf>
    <xf numFmtId="1" fontId="9" fillId="0" borderId="3" xfId="86" applyNumberFormat="1" applyFont="1" applyBorder="1" applyAlignment="1">
      <alignment vertical="center"/>
    </xf>
    <xf numFmtId="1" fontId="52" fillId="0" borderId="0" xfId="86" applyNumberFormat="1" applyFont="1" applyAlignment="1">
      <alignment vertical="center"/>
    </xf>
    <xf numFmtId="1" fontId="51" fillId="0" borderId="3" xfId="86" applyNumberFormat="1" applyFont="1" applyBorder="1" applyAlignment="1">
      <alignment horizontal="right" vertical="center"/>
    </xf>
    <xf numFmtId="1" fontId="53" fillId="0" borderId="0" xfId="86" applyNumberFormat="1" applyFont="1" applyAlignment="1">
      <alignment vertical="center"/>
    </xf>
    <xf numFmtId="1" fontId="54" fillId="0" borderId="0" xfId="86" applyNumberFormat="1" applyFont="1" applyAlignment="1">
      <alignment vertical="center"/>
    </xf>
    <xf numFmtId="1" fontId="55" fillId="0" borderId="0" xfId="86" applyNumberFormat="1" applyFont="1" applyAlignment="1">
      <alignment vertical="center"/>
    </xf>
    <xf numFmtId="3" fontId="4" fillId="0" borderId="0" xfId="86" applyNumberFormat="1" applyFont="1" applyAlignment="1">
      <alignment horizontal="center" vertical="center" wrapText="1"/>
    </xf>
    <xf numFmtId="3" fontId="4" fillId="0" borderId="0" xfId="86" applyNumberFormat="1" applyFont="1" applyAlignment="1">
      <alignment vertical="center" wrapText="1"/>
    </xf>
    <xf numFmtId="1" fontId="4" fillId="0" borderId="0" xfId="86" applyNumberFormat="1" applyFont="1" applyAlignment="1">
      <alignment horizontal="center" vertical="center"/>
    </xf>
    <xf numFmtId="1" fontId="4" fillId="0" borderId="0" xfId="86" applyNumberFormat="1" applyFont="1" applyAlignment="1">
      <alignment vertical="center" wrapText="1"/>
    </xf>
    <xf numFmtId="1" fontId="4" fillId="0" borderId="0" xfId="86" applyNumberFormat="1" applyFont="1" applyAlignment="1">
      <alignment horizontal="center" vertical="center" wrapText="1"/>
    </xf>
    <xf numFmtId="3" fontId="8" fillId="0" borderId="3" xfId="86" applyNumberFormat="1" applyFont="1" applyBorder="1" applyAlignment="1">
      <alignment horizontal="center" vertical="center" wrapText="1"/>
    </xf>
    <xf numFmtId="3" fontId="8" fillId="0" borderId="3" xfId="86" applyNumberFormat="1" applyFont="1" applyBorder="1" applyAlignment="1">
      <alignment horizontal="left" vertical="center" wrapText="1"/>
    </xf>
    <xf numFmtId="0" fontId="27" fillId="0" borderId="0" xfId="0" applyFont="1"/>
    <xf numFmtId="1" fontId="22" fillId="0" borderId="0" xfId="86" applyNumberFormat="1" applyFont="1" applyAlignment="1">
      <alignment horizontal="right" vertical="center"/>
    </xf>
    <xf numFmtId="0" fontId="58" fillId="0" borderId="0" xfId="0" applyFont="1" applyAlignment="1">
      <alignment vertical="center" wrapText="1" readingOrder="1"/>
    </xf>
    <xf numFmtId="0" fontId="57" fillId="0" borderId="0" xfId="0" applyFont="1" applyAlignment="1">
      <alignment vertical="center" wrapText="1" readingOrder="1"/>
    </xf>
    <xf numFmtId="1" fontId="15" fillId="0" borderId="0" xfId="86" applyNumberFormat="1" applyFont="1" applyAlignment="1">
      <alignment horizontal="right" vertical="center"/>
    </xf>
    <xf numFmtId="1" fontId="61" fillId="0" borderId="0" xfId="86" applyNumberFormat="1" applyFont="1" applyAlignment="1">
      <alignment vertical="center"/>
    </xf>
    <xf numFmtId="1" fontId="62" fillId="0" borderId="0" xfId="86" applyNumberFormat="1" applyFont="1" applyAlignment="1">
      <alignment vertical="center"/>
    </xf>
    <xf numFmtId="1" fontId="63" fillId="0" borderId="0" xfId="86" applyNumberFormat="1" applyFont="1" applyAlignment="1">
      <alignment vertical="center"/>
    </xf>
    <xf numFmtId="49" fontId="4" fillId="0" borderId="0" xfId="86" applyNumberFormat="1" applyFont="1" applyAlignment="1">
      <alignment horizontal="center" vertical="center"/>
    </xf>
    <xf numFmtId="0" fontId="30" fillId="0" borderId="3" xfId="58" applyFont="1" applyBorder="1" applyAlignment="1">
      <alignment horizontal="center" vertical="center" wrapText="1"/>
    </xf>
    <xf numFmtId="0" fontId="4" fillId="0" borderId="3" xfId="86" applyFont="1" applyBorder="1" applyAlignment="1">
      <alignment horizontal="center" vertical="center" wrapText="1"/>
    </xf>
    <xf numFmtId="49" fontId="4" fillId="0" borderId="3" xfId="86" applyNumberFormat="1" applyFont="1" applyBorder="1" applyAlignment="1">
      <alignment horizontal="center" vertical="center" wrapText="1"/>
    </xf>
    <xf numFmtId="1" fontId="65" fillId="0" borderId="0" xfId="86" applyNumberFormat="1" applyFont="1" applyAlignment="1">
      <alignment vertical="center"/>
    </xf>
    <xf numFmtId="1" fontId="65" fillId="0" borderId="0" xfId="86" applyNumberFormat="1" applyFont="1" applyAlignment="1">
      <alignment horizontal="right" vertical="center"/>
    </xf>
    <xf numFmtId="3" fontId="4" fillId="0" borderId="3" xfId="86" applyNumberFormat="1" applyFont="1" applyBorder="1" applyAlignment="1">
      <alignment vertical="center" wrapText="1"/>
    </xf>
    <xf numFmtId="49" fontId="4" fillId="0" borderId="5" xfId="86" applyNumberFormat="1" applyFont="1" applyBorder="1" applyAlignment="1">
      <alignment horizontal="center" vertical="center"/>
    </xf>
    <xf numFmtId="1" fontId="4" fillId="0" borderId="5" xfId="86" applyNumberFormat="1" applyFont="1" applyBorder="1" applyAlignment="1">
      <alignment vertical="center" wrapText="1"/>
    </xf>
    <xf numFmtId="1" fontId="4" fillId="0" borderId="5" xfId="86" applyNumberFormat="1" applyFont="1" applyBorder="1" applyAlignment="1">
      <alignment horizontal="center" vertical="center" wrapText="1"/>
    </xf>
    <xf numFmtId="1" fontId="4" fillId="0" borderId="5" xfId="86" applyNumberFormat="1" applyFont="1" applyBorder="1" applyAlignment="1">
      <alignment horizontal="right" vertical="center"/>
    </xf>
    <xf numFmtId="1" fontId="4" fillId="0" borderId="0" xfId="86" applyNumberFormat="1" applyFont="1" applyAlignment="1">
      <alignment horizontal="left" vertical="center" wrapText="1"/>
    </xf>
    <xf numFmtId="49" fontId="4" fillId="0" borderId="0" xfId="86" applyNumberFormat="1" applyFont="1" applyAlignment="1">
      <alignment vertical="center"/>
    </xf>
    <xf numFmtId="1" fontId="66" fillId="0" borderId="0" xfId="86" applyNumberFormat="1" applyFont="1" applyAlignment="1">
      <alignment vertical="center"/>
    </xf>
    <xf numFmtId="1" fontId="67" fillId="0" borderId="0" xfId="86" applyNumberFormat="1" applyFont="1" applyAlignment="1">
      <alignment vertical="center"/>
    </xf>
    <xf numFmtId="1" fontId="68" fillId="0" borderId="0" xfId="86" applyNumberFormat="1" applyFont="1" applyAlignment="1">
      <alignment vertical="center"/>
    </xf>
    <xf numFmtId="1" fontId="68" fillId="0" borderId="0" xfId="86" applyNumberFormat="1" applyFont="1" applyAlignment="1">
      <alignment horizontal="center" vertical="center"/>
    </xf>
    <xf numFmtId="49" fontId="9" fillId="0" borderId="0" xfId="86" applyNumberFormat="1" applyFont="1" applyAlignment="1">
      <alignment horizontal="center" vertical="center"/>
    </xf>
    <xf numFmtId="1" fontId="12" fillId="0" borderId="0" xfId="86" applyNumberFormat="1" applyFont="1" applyAlignment="1">
      <alignment vertical="center" wrapText="1"/>
    </xf>
    <xf numFmtId="1" fontId="13" fillId="0" borderId="0" xfId="86" applyNumberFormat="1" applyFont="1" applyAlignment="1">
      <alignment vertical="center" wrapText="1"/>
    </xf>
    <xf numFmtId="1" fontId="4" fillId="0" borderId="3" xfId="86" applyNumberFormat="1" applyFont="1" applyBorder="1" applyAlignment="1">
      <alignment horizontal="center" vertical="center"/>
    </xf>
    <xf numFmtId="1" fontId="38" fillId="0" borderId="0" xfId="86" applyNumberFormat="1" applyFont="1"/>
    <xf numFmtId="1" fontId="68" fillId="0" borderId="3" xfId="86" applyNumberFormat="1" applyFont="1" applyBorder="1" applyAlignment="1">
      <alignment vertical="center"/>
    </xf>
    <xf numFmtId="1" fontId="68" fillId="0" borderId="3" xfId="86" applyNumberFormat="1" applyFont="1" applyBorder="1" applyAlignment="1">
      <alignment horizontal="center" vertical="center"/>
    </xf>
    <xf numFmtId="1" fontId="50" fillId="3" borderId="0" xfId="86" applyNumberFormat="1" applyFont="1" applyFill="1" applyAlignment="1">
      <alignment vertical="center" wrapText="1"/>
    </xf>
    <xf numFmtId="1" fontId="8" fillId="0" borderId="5" xfId="86" applyNumberFormat="1" applyFont="1" applyBorder="1" applyAlignment="1">
      <alignment horizontal="right" vertical="center"/>
    </xf>
    <xf numFmtId="1" fontId="38" fillId="0" borderId="0" xfId="86" applyNumberFormat="1" applyFont="1" applyAlignment="1">
      <alignment vertical="center"/>
    </xf>
    <xf numFmtId="1" fontId="69" fillId="0" borderId="0" xfId="86" applyNumberFormat="1" applyFont="1" applyAlignment="1">
      <alignment vertical="center"/>
    </xf>
    <xf numFmtId="1" fontId="22" fillId="0" borderId="0" xfId="86" applyNumberFormat="1" applyFont="1" applyAlignment="1">
      <alignment vertical="center"/>
    </xf>
    <xf numFmtId="1" fontId="8" fillId="0" borderId="3" xfId="86" applyNumberFormat="1" applyFont="1" applyBorder="1" applyAlignment="1">
      <alignment horizontal="center" vertical="center"/>
    </xf>
    <xf numFmtId="49" fontId="13" fillId="0" borderId="0" xfId="86" applyNumberFormat="1" applyFont="1" applyAlignment="1">
      <alignment horizontal="center" vertical="center"/>
    </xf>
    <xf numFmtId="1" fontId="15" fillId="0" borderId="0" xfId="86" applyNumberFormat="1" applyFont="1" applyAlignment="1">
      <alignment vertical="center"/>
    </xf>
    <xf numFmtId="0" fontId="58" fillId="0" borderId="0" xfId="0" applyFont="1" applyAlignment="1">
      <alignment vertical="center" readingOrder="1"/>
    </xf>
    <xf numFmtId="0" fontId="57" fillId="0" borderId="0" xfId="0" applyFont="1" applyAlignment="1">
      <alignment vertical="center" readingOrder="1"/>
    </xf>
    <xf numFmtId="1" fontId="53" fillId="0" borderId="0" xfId="86" applyNumberFormat="1" applyFont="1"/>
    <xf numFmtId="0" fontId="70" fillId="0" borderId="0" xfId="0" applyFont="1" applyAlignment="1">
      <alignment vertical="center" wrapText="1"/>
    </xf>
    <xf numFmtId="0" fontId="71" fillId="0" borderId="0" xfId="0" applyFont="1" applyAlignment="1">
      <alignment vertical="center" wrapText="1"/>
    </xf>
    <xf numFmtId="0" fontId="72" fillId="0" borderId="0" xfId="0" applyFont="1" applyAlignment="1">
      <alignment horizontal="right" vertical="center" wrapText="1"/>
    </xf>
    <xf numFmtId="49" fontId="70" fillId="0" borderId="3" xfId="0" applyNumberFormat="1" applyFont="1" applyBorder="1" applyAlignment="1">
      <alignment vertical="center" wrapText="1"/>
    </xf>
    <xf numFmtId="49" fontId="71" fillId="0" borderId="3" xfId="0" applyNumberFormat="1" applyFont="1" applyBorder="1" applyAlignment="1">
      <alignment vertical="center" wrapText="1"/>
    </xf>
    <xf numFmtId="0" fontId="72" fillId="0" borderId="0" xfId="0" applyFont="1" applyAlignment="1">
      <alignment vertical="center" wrapText="1"/>
    </xf>
    <xf numFmtId="0" fontId="70" fillId="0" borderId="3" xfId="0" applyFont="1" applyBorder="1" applyAlignment="1">
      <alignment vertical="center" wrapText="1"/>
    </xf>
    <xf numFmtId="0" fontId="71" fillId="0" borderId="3" xfId="0" applyFont="1" applyBorder="1" applyAlignment="1">
      <alignment vertical="center" wrapText="1"/>
    </xf>
    <xf numFmtId="0" fontId="4" fillId="0" borderId="3" xfId="0" quotePrefix="1" applyFont="1" applyBorder="1" applyAlignment="1">
      <alignment horizontal="center" vertical="center" wrapText="1"/>
    </xf>
    <xf numFmtId="1" fontId="4" fillId="0" borderId="3" xfId="86" quotePrefix="1" applyNumberFormat="1" applyFont="1" applyBorder="1" applyAlignment="1">
      <alignment vertical="center" wrapText="1"/>
    </xf>
    <xf numFmtId="1" fontId="11" fillId="0" borderId="3" xfId="86" quotePrefix="1" applyNumberFormat="1" applyFont="1" applyBorder="1" applyAlignment="1">
      <alignment vertical="center" wrapText="1"/>
    </xf>
    <xf numFmtId="1" fontId="9" fillId="0" borderId="3" xfId="86" quotePrefix="1" applyNumberFormat="1" applyFont="1" applyBorder="1" applyAlignment="1">
      <alignment vertical="center" wrapText="1"/>
    </xf>
    <xf numFmtId="1" fontId="13" fillId="0" borderId="0" xfId="86" quotePrefix="1" applyNumberFormat="1" applyFont="1" applyAlignment="1">
      <alignment vertical="center"/>
    </xf>
    <xf numFmtId="1" fontId="8" fillId="0" borderId="3" xfId="86" quotePrefix="1" applyNumberFormat="1" applyFont="1" applyBorder="1" applyAlignment="1">
      <alignment vertical="center" wrapText="1"/>
    </xf>
    <xf numFmtId="0" fontId="41" fillId="0" borderId="3" xfId="53" quotePrefix="1" applyFont="1" applyBorder="1" applyAlignment="1">
      <alignment horizontal="center" vertical="center" wrapText="1" readingOrder="1"/>
    </xf>
    <xf numFmtId="0" fontId="42" fillId="0" borderId="7" xfId="53" quotePrefix="1" applyFont="1" applyBorder="1" applyAlignment="1">
      <alignment horizontal="center" vertical="center" wrapText="1" readingOrder="1"/>
    </xf>
    <xf numFmtId="0" fontId="43" fillId="0" borderId="3" xfId="53" quotePrefix="1" applyFont="1" applyBorder="1" applyAlignment="1">
      <alignment horizontal="center" vertical="center" wrapText="1" readingOrder="1"/>
    </xf>
    <xf numFmtId="0" fontId="42" fillId="0" borderId="3" xfId="53" quotePrefix="1" applyFont="1" applyBorder="1" applyAlignment="1">
      <alignment horizontal="center" vertical="center" wrapText="1" readingOrder="1"/>
    </xf>
    <xf numFmtId="1" fontId="6" fillId="0" borderId="3" xfId="86" quotePrefix="1" applyNumberFormat="1" applyFont="1" applyBorder="1" applyAlignment="1">
      <alignment vertical="center" wrapText="1"/>
    </xf>
    <xf numFmtId="0" fontId="26" fillId="0" borderId="0" xfId="0" quotePrefix="1" applyFont="1" applyAlignment="1">
      <alignment vertical="center"/>
    </xf>
    <xf numFmtId="1" fontId="4" fillId="0" borderId="3" xfId="57" applyNumberFormat="1" applyFont="1" applyBorder="1" applyAlignment="1">
      <alignment horizontal="center" vertical="center" wrapText="1"/>
    </xf>
    <xf numFmtId="0" fontId="4" fillId="2" borderId="3" xfId="0" applyFont="1" applyFill="1" applyBorder="1" applyAlignment="1">
      <alignment horizontal="left" vertical="center" wrapText="1"/>
    </xf>
    <xf numFmtId="188" fontId="4" fillId="0" borderId="3" xfId="36" applyNumberFormat="1" applyFont="1" applyBorder="1" applyAlignment="1">
      <alignment horizontal="center" vertical="center" wrapText="1"/>
    </xf>
    <xf numFmtId="0" fontId="15" fillId="2" borderId="3" xfId="0" applyFont="1" applyFill="1" applyBorder="1" applyAlignment="1">
      <alignment horizontal="center" vertical="center"/>
    </xf>
    <xf numFmtId="0" fontId="4" fillId="0" borderId="0" xfId="58" applyFont="1" applyAlignment="1">
      <alignment horizontal="center" vertical="center" wrapText="1"/>
    </xf>
    <xf numFmtId="0" fontId="4" fillId="0" borderId="0" xfId="58" applyFont="1" applyAlignment="1">
      <alignment vertical="center" wrapText="1"/>
    </xf>
    <xf numFmtId="0" fontId="4" fillId="0" borderId="0" xfId="58" applyFont="1" applyAlignment="1">
      <alignment horizontal="right" vertical="center" wrapText="1"/>
    </xf>
    <xf numFmtId="0" fontId="8" fillId="0" borderId="3" xfId="58" applyFont="1" applyBorder="1" applyAlignment="1">
      <alignment horizontal="center" vertical="center" wrapText="1"/>
    </xf>
    <xf numFmtId="0" fontId="4" fillId="2" borderId="3" xfId="0" applyFont="1" applyFill="1" applyBorder="1" applyAlignment="1">
      <alignment vertical="center" wrapText="1"/>
    </xf>
    <xf numFmtId="0" fontId="4" fillId="2" borderId="3" xfId="45"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113" applyFont="1" applyBorder="1" applyAlignment="1">
      <alignment vertical="center" wrapText="1"/>
    </xf>
    <xf numFmtId="0" fontId="4" fillId="0" borderId="3" xfId="58" applyFont="1" applyBorder="1" applyAlignment="1">
      <alignment horizontal="center" vertical="center" wrapText="1"/>
    </xf>
    <xf numFmtId="49" fontId="4" fillId="6" borderId="3" xfId="116" quotePrefix="1" applyNumberFormat="1" applyFont="1" applyFill="1" applyBorder="1" applyAlignment="1">
      <alignment horizontal="center" vertical="center" wrapText="1"/>
    </xf>
    <xf numFmtId="0" fontId="4" fillId="0" borderId="3" xfId="117" applyFont="1" applyBorder="1" applyAlignment="1">
      <alignment horizontal="center" vertical="center" wrapText="1"/>
    </xf>
    <xf numFmtId="3" fontId="4" fillId="0" borderId="3" xfId="115" applyNumberFormat="1" applyFont="1" applyBorder="1" applyAlignment="1">
      <alignment horizontal="center" vertical="center" wrapText="1"/>
    </xf>
    <xf numFmtId="49" fontId="4" fillId="0" borderId="3" xfId="116" quotePrefix="1" applyNumberFormat="1" applyFont="1" applyFill="1" applyBorder="1" applyAlignment="1">
      <alignment horizontal="center" vertical="center" wrapText="1"/>
    </xf>
    <xf numFmtId="3" fontId="4" fillId="0" borderId="3" xfId="117" applyNumberFormat="1" applyFont="1" applyBorder="1" applyAlignment="1">
      <alignment horizontal="center" vertical="center" wrapText="1"/>
    </xf>
    <xf numFmtId="0" fontId="4" fillId="0" borderId="3" xfId="118" applyFont="1" applyBorder="1" applyAlignment="1">
      <alignment vertical="center" wrapText="1"/>
    </xf>
    <xf numFmtId="0" fontId="4" fillId="0" borderId="3" xfId="0" applyFont="1" applyBorder="1" applyAlignment="1">
      <alignment vertical="center" wrapText="1"/>
    </xf>
    <xf numFmtId="0" fontId="4" fillId="0" borderId="3" xfId="58" quotePrefix="1" applyFont="1" applyBorder="1" applyAlignment="1">
      <alignment horizontal="center" vertical="center" wrapText="1"/>
    </xf>
    <xf numFmtId="0" fontId="4" fillId="0" borderId="3" xfId="113" applyFont="1" applyBorder="1" applyAlignment="1">
      <alignment horizontal="center" vertical="center" wrapText="1"/>
    </xf>
    <xf numFmtId="0" fontId="4" fillId="0" borderId="3" xfId="66" applyFont="1" applyBorder="1" applyAlignment="1">
      <alignment horizontal="center" vertical="center" wrapText="1"/>
    </xf>
    <xf numFmtId="0" fontId="4" fillId="0" borderId="3" xfId="0" applyFont="1" applyBorder="1" applyAlignment="1">
      <alignment horizontal="center" vertical="center" wrapText="1"/>
    </xf>
    <xf numFmtId="1" fontId="4" fillId="0" borderId="3" xfId="114" applyNumberFormat="1" applyFont="1" applyBorder="1" applyAlignment="1">
      <alignment horizontal="center" vertical="center" wrapText="1"/>
    </xf>
    <xf numFmtId="0" fontId="4" fillId="0" borderId="3" xfId="113" quotePrefix="1" applyFont="1" applyBorder="1" applyAlignment="1">
      <alignment horizontal="center" vertical="center" wrapText="1"/>
    </xf>
    <xf numFmtId="188" fontId="4" fillId="0" borderId="3" xfId="36" applyNumberFormat="1" applyFont="1" applyBorder="1" applyAlignment="1">
      <alignment horizontal="right" vertical="center" wrapText="1"/>
    </xf>
    <xf numFmtId="188" fontId="4" fillId="0" borderId="3" xfId="0" applyNumberFormat="1" applyFont="1" applyBorder="1" applyAlignment="1">
      <alignment vertical="center" wrapText="1"/>
    </xf>
    <xf numFmtId="3" fontId="4" fillId="0" borderId="3" xfId="22" applyNumberFormat="1" applyFont="1" applyFill="1" applyBorder="1" applyAlignment="1">
      <alignment horizontal="center" vertical="center" wrapText="1"/>
    </xf>
    <xf numFmtId="3" fontId="4" fillId="0" borderId="3" xfId="0" applyNumberFormat="1" applyFont="1" applyBorder="1" applyAlignment="1">
      <alignment horizontal="center" vertical="center"/>
    </xf>
    <xf numFmtId="3" fontId="4" fillId="0" borderId="3" xfId="0" quotePrefix="1" applyNumberFormat="1" applyFont="1" applyBorder="1" applyAlignment="1">
      <alignment horizontal="center" vertical="center"/>
    </xf>
    <xf numFmtId="188" fontId="4" fillId="0" borderId="3" xfId="0" applyNumberFormat="1" applyFont="1" applyBorder="1" applyAlignment="1">
      <alignment horizontal="center" vertical="center"/>
    </xf>
    <xf numFmtId="1" fontId="4" fillId="0" borderId="3" xfId="87" applyNumberFormat="1" applyFont="1" applyBorder="1" applyAlignment="1">
      <alignment horizontal="center" vertical="center" wrapText="1"/>
    </xf>
    <xf numFmtId="0" fontId="4" fillId="2" borderId="3" xfId="113" applyFont="1" applyFill="1" applyBorder="1" applyAlignment="1">
      <alignment vertical="center" wrapText="1"/>
    </xf>
    <xf numFmtId="188" fontId="4" fillId="2" borderId="3" xfId="0" applyNumberFormat="1" applyFont="1" applyFill="1" applyBorder="1" applyAlignment="1">
      <alignment vertical="center" wrapText="1"/>
    </xf>
    <xf numFmtId="188" fontId="4" fillId="0" borderId="3" xfId="0" applyNumberFormat="1" applyFont="1" applyBorder="1" applyAlignment="1">
      <alignment horizontal="right" vertical="center"/>
    </xf>
    <xf numFmtId="188" fontId="4" fillId="0" borderId="3" xfId="36" quotePrefix="1" applyNumberFormat="1" applyFont="1" applyBorder="1" applyAlignment="1">
      <alignment horizontal="center" vertical="center" wrapText="1"/>
    </xf>
    <xf numFmtId="49" fontId="4" fillId="0" borderId="3" xfId="23" quotePrefix="1" applyNumberFormat="1" applyFont="1" applyFill="1" applyBorder="1" applyAlignment="1">
      <alignment horizontal="center" vertical="center" wrapText="1"/>
    </xf>
    <xf numFmtId="1" fontId="4" fillId="0" borderId="3" xfId="0" applyNumberFormat="1" applyFont="1" applyBorder="1" applyAlignment="1">
      <alignment horizontal="center" vertical="center" wrapText="1"/>
    </xf>
    <xf numFmtId="188" fontId="4" fillId="0" borderId="3" xfId="0" applyNumberFormat="1" applyFont="1" applyBorder="1" applyAlignment="1">
      <alignment horizontal="center" vertical="center" wrapText="1"/>
    </xf>
    <xf numFmtId="0" fontId="4" fillId="2" borderId="3" xfId="0" applyFont="1" applyFill="1" applyBorder="1" applyAlignment="1">
      <alignment horizontal="justify" vertical="center" wrapText="1"/>
    </xf>
    <xf numFmtId="3" fontId="4" fillId="0" borderId="3" xfId="57" applyNumberFormat="1" applyFont="1" applyBorder="1" applyAlignment="1">
      <alignment horizontal="center" vertical="center" wrapText="1"/>
    </xf>
    <xf numFmtId="188" fontId="4" fillId="0" borderId="3" xfId="0" applyNumberFormat="1" applyFont="1" applyBorder="1" applyAlignment="1">
      <alignment horizontal="right" vertical="center" wrapText="1"/>
    </xf>
    <xf numFmtId="0" fontId="4" fillId="0" borderId="3" xfId="58" applyFont="1" applyBorder="1" applyAlignment="1">
      <alignment horizontal="left" vertical="center" wrapText="1"/>
    </xf>
    <xf numFmtId="14" fontId="4" fillId="0" borderId="3" xfId="117" applyNumberFormat="1" applyFont="1" applyBorder="1" applyAlignment="1">
      <alignment horizontal="center" vertical="center" wrapText="1"/>
    </xf>
    <xf numFmtId="188" fontId="4" fillId="0" borderId="3" xfId="58" applyNumberFormat="1" applyFont="1" applyBorder="1" applyAlignment="1">
      <alignment horizontal="right" vertical="center" wrapText="1"/>
    </xf>
    <xf numFmtId="188" fontId="4" fillId="0" borderId="3" xfId="66" applyNumberFormat="1" applyFont="1" applyBorder="1" applyAlignment="1">
      <alignment horizontal="right" vertical="center" wrapText="1"/>
    </xf>
    <xf numFmtId="188" fontId="4" fillId="0" borderId="3" xfId="25" applyNumberFormat="1" applyFont="1" applyFill="1" applyBorder="1" applyAlignment="1">
      <alignment horizontal="center" vertical="center" wrapText="1"/>
    </xf>
    <xf numFmtId="188" fontId="4" fillId="2" borderId="3" xfId="58" applyNumberFormat="1" applyFont="1" applyFill="1" applyBorder="1" applyAlignment="1">
      <alignment horizontal="right" vertical="center" wrapText="1"/>
    </xf>
    <xf numFmtId="188" fontId="4" fillId="0" borderId="3" xfId="122" applyNumberFormat="1" applyFont="1" applyFill="1" applyBorder="1" applyAlignment="1">
      <alignment vertical="center"/>
    </xf>
    <xf numFmtId="188" fontId="4" fillId="0" borderId="3" xfId="122" applyNumberFormat="1" applyFont="1" applyFill="1" applyBorder="1" applyAlignment="1">
      <alignment vertical="center" wrapText="1"/>
    </xf>
    <xf numFmtId="188" fontId="4" fillId="0" borderId="3" xfId="0" applyNumberFormat="1" applyFont="1" applyBorder="1"/>
    <xf numFmtId="188" fontId="4" fillId="2" borderId="3" xfId="0" applyNumberFormat="1" applyFont="1" applyFill="1" applyBorder="1" applyAlignment="1">
      <alignment horizontal="right" vertical="center" wrapText="1"/>
    </xf>
    <xf numFmtId="188" fontId="4" fillId="0" borderId="3" xfId="120" applyNumberFormat="1" applyFont="1" applyFill="1" applyBorder="1" applyAlignment="1">
      <alignment horizontal="right" vertical="center" wrapText="1"/>
    </xf>
    <xf numFmtId="188" fontId="4" fillId="0" borderId="3" xfId="122" applyNumberFormat="1" applyFont="1" applyFill="1" applyBorder="1" applyAlignment="1">
      <alignment horizontal="right" vertical="center" wrapText="1"/>
    </xf>
    <xf numFmtId="188" fontId="4" fillId="0" borderId="3" xfId="1" applyNumberFormat="1" applyFont="1" applyFill="1" applyBorder="1" applyAlignment="1">
      <alignment vertical="center" wrapText="1"/>
    </xf>
    <xf numFmtId="188" fontId="4" fillId="0" borderId="3" xfId="1" applyNumberFormat="1" applyFont="1" applyFill="1" applyBorder="1" applyAlignment="1">
      <alignment horizontal="right" vertical="center" wrapText="1"/>
    </xf>
    <xf numFmtId="188" fontId="4" fillId="0" borderId="3" xfId="115" applyNumberFormat="1" applyFont="1" applyBorder="1" applyAlignment="1">
      <alignment horizontal="right" vertical="center" wrapText="1"/>
    </xf>
    <xf numFmtId="0" fontId="116" fillId="0" borderId="0" xfId="0" applyFont="1"/>
    <xf numFmtId="0" fontId="4" fillId="2" borderId="3" xfId="119" applyFont="1" applyFill="1" applyBorder="1" applyAlignment="1">
      <alignment horizontal="center" vertical="center" wrapText="1"/>
    </xf>
    <xf numFmtId="49" fontId="4" fillId="2" borderId="3" xfId="116" quotePrefix="1" applyNumberFormat="1" applyFont="1" applyFill="1" applyBorder="1" applyAlignment="1">
      <alignment horizontal="center" vertical="center" wrapText="1"/>
    </xf>
    <xf numFmtId="0" fontId="4" fillId="2" borderId="3" xfId="117" applyFont="1" applyFill="1" applyBorder="1" applyAlignment="1">
      <alignment horizontal="center" vertical="center" wrapText="1"/>
    </xf>
    <xf numFmtId="3" fontId="4" fillId="2" borderId="3" xfId="115" applyNumberFormat="1" applyFont="1" applyFill="1" applyBorder="1" applyAlignment="1">
      <alignment horizontal="center" vertical="center" wrapText="1"/>
    </xf>
    <xf numFmtId="188" fontId="4" fillId="2" borderId="3" xfId="119" applyNumberFormat="1" applyFont="1" applyFill="1" applyBorder="1" applyAlignment="1">
      <alignment horizontal="right" vertical="center" wrapText="1"/>
    </xf>
    <xf numFmtId="188" fontId="4" fillId="0" borderId="3" xfId="119" applyNumberFormat="1" applyFont="1" applyBorder="1" applyAlignment="1">
      <alignment horizontal="right" vertical="center" wrapText="1"/>
    </xf>
    <xf numFmtId="3" fontId="4" fillId="2" borderId="3" xfId="117" applyNumberFormat="1" applyFont="1" applyFill="1" applyBorder="1" applyAlignment="1">
      <alignment horizontal="center" vertical="center" wrapText="1"/>
    </xf>
    <xf numFmtId="49" fontId="4" fillId="2" borderId="3" xfId="121" quotePrefix="1" applyNumberFormat="1" applyFont="1" applyFill="1" applyBorder="1" applyAlignment="1">
      <alignment horizontal="center" vertical="center" wrapText="1"/>
    </xf>
    <xf numFmtId="1" fontId="4" fillId="2" borderId="3" xfId="87" applyNumberFormat="1" applyFont="1" applyFill="1" applyBorder="1" applyAlignment="1">
      <alignment horizontal="center" vertical="center" wrapText="1"/>
    </xf>
    <xf numFmtId="170" fontId="4" fillId="2" borderId="3" xfId="122" applyNumberFormat="1" applyFont="1" applyFill="1" applyBorder="1" applyAlignment="1">
      <alignment horizontal="center" vertical="center" wrapText="1"/>
    </xf>
    <xf numFmtId="188" fontId="4" fillId="2" borderId="3" xfId="122" applyNumberFormat="1" applyFont="1" applyFill="1" applyBorder="1" applyAlignment="1">
      <alignment horizontal="right" vertical="center" wrapText="1"/>
    </xf>
    <xf numFmtId="0" fontId="4" fillId="2" borderId="3" xfId="0" applyFont="1" applyFill="1" applyBorder="1" applyAlignment="1">
      <alignment horizontal="center" vertical="center" wrapText="1"/>
    </xf>
    <xf numFmtId="188" fontId="4" fillId="2" borderId="3" xfId="67" applyNumberFormat="1" applyFont="1" applyFill="1" applyBorder="1" applyAlignment="1">
      <alignment horizontal="right" vertical="center" wrapText="1"/>
    </xf>
    <xf numFmtId="188" fontId="4" fillId="0" borderId="3" xfId="67" applyNumberFormat="1" applyFont="1" applyBorder="1" applyAlignment="1">
      <alignment horizontal="right" vertical="center" wrapText="1"/>
    </xf>
    <xf numFmtId="0" fontId="4" fillId="2" borderId="3" xfId="113" applyFont="1" applyFill="1" applyBorder="1" applyAlignment="1">
      <alignment horizontal="left" vertical="center" wrapText="1"/>
    </xf>
    <xf numFmtId="14" fontId="4" fillId="2" borderId="3" xfId="117" applyNumberFormat="1" applyFont="1" applyFill="1" applyBorder="1" applyAlignment="1">
      <alignment horizontal="center" vertical="center" wrapText="1"/>
    </xf>
    <xf numFmtId="0" fontId="4" fillId="0" borderId="3" xfId="0" applyFont="1" applyBorder="1" applyAlignment="1">
      <alignment horizontal="left" vertical="center"/>
    </xf>
    <xf numFmtId="188" fontId="4" fillId="0" borderId="3" xfId="0" applyNumberFormat="1" applyFont="1" applyBorder="1" applyAlignment="1">
      <alignment horizontal="left" vertical="center"/>
    </xf>
    <xf numFmtId="2" fontId="15" fillId="2" borderId="3" xfId="87" applyNumberFormat="1" applyFont="1" applyFill="1" applyBorder="1" applyAlignment="1">
      <alignment vertical="center" wrapText="1"/>
    </xf>
    <xf numFmtId="1" fontId="15" fillId="2" borderId="3" xfId="86"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3" fontId="15" fillId="2" borderId="3" xfId="1" applyNumberFormat="1" applyFont="1" applyFill="1" applyBorder="1" applyAlignment="1">
      <alignment vertical="center" wrapText="1"/>
    </xf>
    <xf numFmtId="0" fontId="15" fillId="2" borderId="3" xfId="0" applyFont="1" applyFill="1" applyBorder="1" applyAlignment="1">
      <alignment horizontal="left" vertical="center" wrapText="1"/>
    </xf>
    <xf numFmtId="3" fontId="15" fillId="2" borderId="3" xfId="87" applyNumberFormat="1" applyFont="1" applyFill="1" applyBorder="1" applyAlignment="1">
      <alignment vertical="center" wrapText="1"/>
    </xf>
    <xf numFmtId="1" fontId="15" fillId="2" borderId="3" xfId="0" applyNumberFormat="1" applyFont="1" applyFill="1" applyBorder="1" applyAlignment="1">
      <alignment vertical="center" wrapText="1"/>
    </xf>
    <xf numFmtId="0" fontId="15" fillId="2" borderId="0" xfId="0" applyFont="1" applyFill="1"/>
    <xf numFmtId="0" fontId="15" fillId="2" borderId="0" xfId="124" applyFont="1" applyFill="1" applyAlignment="1">
      <alignment horizontal="center" vertical="center"/>
    </xf>
    <xf numFmtId="1" fontId="13" fillId="2" borderId="0" xfId="86" applyNumberFormat="1" applyFont="1" applyFill="1" applyAlignment="1">
      <alignment horizontal="left" vertical="center" wrapText="1"/>
    </xf>
    <xf numFmtId="3" fontId="13" fillId="2" borderId="0" xfId="86" applyNumberFormat="1" applyFont="1" applyFill="1" applyAlignment="1">
      <alignment horizontal="center" vertical="center" wrapText="1"/>
    </xf>
    <xf numFmtId="3" fontId="13" fillId="2" borderId="0" xfId="86" applyNumberFormat="1" applyFont="1" applyFill="1" applyAlignment="1">
      <alignment vertical="center" wrapText="1"/>
    </xf>
    <xf numFmtId="0" fontId="15" fillId="2" borderId="0" xfId="0" applyFont="1" applyFill="1" applyAlignment="1">
      <alignment horizontal="center" vertical="center"/>
    </xf>
    <xf numFmtId="1" fontId="12" fillId="2" borderId="3" xfId="86" applyNumberFormat="1" applyFont="1" applyFill="1" applyBorder="1" applyAlignment="1">
      <alignment horizontal="center" vertical="center" wrapText="1"/>
    </xf>
    <xf numFmtId="3" fontId="12" fillId="2" borderId="3" xfId="87" applyNumberFormat="1" applyFont="1" applyFill="1" applyBorder="1" applyAlignment="1">
      <alignment vertical="center" wrapText="1"/>
    </xf>
    <xf numFmtId="3" fontId="12" fillId="2" borderId="3" xfId="86" applyNumberFormat="1" applyFont="1" applyFill="1" applyBorder="1" applyAlignment="1">
      <alignment horizontal="left" vertical="center" wrapText="1"/>
    </xf>
    <xf numFmtId="1" fontId="15" fillId="2" borderId="3" xfId="0" applyNumberFormat="1" applyFont="1" applyFill="1" applyBorder="1" applyAlignment="1">
      <alignment horizontal="center" vertical="center"/>
    </xf>
    <xf numFmtId="3" fontId="22" fillId="2" borderId="3" xfId="86" applyNumberFormat="1" applyFont="1" applyFill="1" applyBorder="1" applyAlignment="1">
      <alignment horizontal="left" vertical="center" wrapText="1"/>
    </xf>
    <xf numFmtId="3" fontId="15" fillId="2" borderId="3" xfId="86" applyNumberFormat="1" applyFont="1" applyFill="1" applyBorder="1" applyAlignment="1">
      <alignment horizontal="justify" vertical="center" wrapText="1"/>
    </xf>
    <xf numFmtId="3" fontId="15" fillId="2" borderId="3" xfId="86"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3" fontId="15" fillId="2" borderId="3" xfId="0" applyNumberFormat="1" applyFont="1" applyFill="1" applyBorder="1" applyAlignment="1">
      <alignment horizontal="center" vertical="center" wrapText="1"/>
    </xf>
    <xf numFmtId="3" fontId="15" fillId="2" borderId="3" xfId="1" applyNumberFormat="1" applyFont="1" applyFill="1" applyBorder="1" applyAlignment="1">
      <alignment vertical="center"/>
    </xf>
    <xf numFmtId="3" fontId="15" fillId="2" borderId="3" xfId="0" applyNumberFormat="1" applyFont="1" applyFill="1" applyBorder="1" applyAlignment="1">
      <alignment vertical="center"/>
    </xf>
    <xf numFmtId="2" fontId="15" fillId="2" borderId="3" xfId="0" applyNumberFormat="1" applyFont="1" applyFill="1" applyBorder="1" applyAlignment="1">
      <alignment horizontal="center" vertical="center" wrapText="1"/>
    </xf>
    <xf numFmtId="170" fontId="15" fillId="2" borderId="3" xfId="8" applyNumberFormat="1" applyFont="1" applyFill="1" applyBorder="1" applyAlignment="1">
      <alignment vertical="center" wrapText="1"/>
    </xf>
    <xf numFmtId="0" fontId="15" fillId="2" borderId="3" xfId="0" applyFont="1" applyFill="1" applyBorder="1"/>
    <xf numFmtId="3" fontId="15" fillId="2" borderId="3" xfId="86" quotePrefix="1" applyNumberFormat="1" applyFont="1" applyFill="1" applyBorder="1" applyAlignment="1">
      <alignment horizontal="center" vertical="center" wrapText="1"/>
    </xf>
    <xf numFmtId="170" fontId="15" fillId="2" borderId="3" xfId="8" quotePrefix="1" applyNumberFormat="1" applyFont="1" applyFill="1" applyBorder="1" applyAlignment="1">
      <alignment horizontal="center" vertical="center" wrapText="1"/>
    </xf>
    <xf numFmtId="49" fontId="15" fillId="2" borderId="3" xfId="8" quotePrefix="1" applyNumberFormat="1" applyFont="1" applyFill="1" applyBorder="1" applyAlignment="1">
      <alignment horizontal="center" vertical="center" wrapText="1"/>
    </xf>
    <xf numFmtId="0" fontId="15" fillId="2" borderId="3" xfId="0" applyFont="1" applyFill="1" applyBorder="1" applyAlignment="1">
      <alignment horizontal="center"/>
    </xf>
    <xf numFmtId="3" fontId="15" fillId="2" borderId="3" xfId="0" applyNumberFormat="1" applyFont="1" applyFill="1" applyBorder="1" applyAlignment="1">
      <alignment horizontal="center"/>
    </xf>
    <xf numFmtId="3" fontId="15" fillId="2" borderId="3" xfId="0" applyNumberFormat="1" applyFont="1" applyFill="1" applyBorder="1" applyAlignment="1">
      <alignment vertical="center" wrapText="1"/>
    </xf>
    <xf numFmtId="3" fontId="15" fillId="2" borderId="0" xfId="0" applyNumberFormat="1" applyFont="1" applyFill="1" applyAlignment="1">
      <alignment horizontal="center" vertical="center"/>
    </xf>
    <xf numFmtId="3" fontId="15" fillId="2" borderId="3" xfId="86" quotePrefix="1" applyNumberFormat="1" applyFont="1" applyFill="1" applyBorder="1" applyAlignment="1">
      <alignment vertical="center" wrapText="1"/>
    </xf>
    <xf numFmtId="3" fontId="15" fillId="2" borderId="3" xfId="86" applyNumberFormat="1" applyFont="1" applyFill="1" applyBorder="1" applyAlignment="1">
      <alignment vertical="center" wrapText="1"/>
    </xf>
    <xf numFmtId="0" fontId="15" fillId="2" borderId="0" xfId="0" applyFont="1" applyFill="1" applyAlignment="1">
      <alignment vertical="center" wrapText="1"/>
    </xf>
    <xf numFmtId="49" fontId="15" fillId="2" borderId="3" xfId="116" quotePrefix="1" applyNumberFormat="1" applyFont="1" applyFill="1" applyBorder="1" applyAlignment="1">
      <alignment horizontal="center" vertical="center" wrapText="1"/>
    </xf>
    <xf numFmtId="1" fontId="15" fillId="2" borderId="3" xfId="86" applyNumberFormat="1" applyFont="1" applyFill="1" applyBorder="1" applyAlignment="1">
      <alignment horizontal="left" vertical="center" wrapText="1"/>
    </xf>
    <xf numFmtId="1" fontId="15" fillId="2" borderId="3" xfId="87" applyNumberFormat="1" applyFont="1" applyFill="1" applyBorder="1" applyAlignment="1">
      <alignment horizontal="center" vertical="center" wrapText="1"/>
    </xf>
    <xf numFmtId="0" fontId="15" fillId="2" borderId="0" xfId="0" applyFont="1" applyFill="1" applyAlignment="1">
      <alignment vertical="center"/>
    </xf>
    <xf numFmtId="3" fontId="15" fillId="2" borderId="0" xfId="0" applyNumberFormat="1" applyFont="1" applyFill="1" applyAlignment="1">
      <alignment vertical="center"/>
    </xf>
    <xf numFmtId="0" fontId="15" fillId="2" borderId="3" xfId="0" applyFont="1" applyFill="1" applyBorder="1" applyAlignment="1">
      <alignment vertical="center" wrapText="1"/>
    </xf>
    <xf numFmtId="170" fontId="15" fillId="2" borderId="3" xfId="1" applyNumberFormat="1" applyFont="1" applyFill="1" applyBorder="1" applyAlignment="1">
      <alignment horizontal="center" vertical="center" wrapText="1"/>
    </xf>
    <xf numFmtId="3" fontId="15" fillId="2" borderId="3" xfId="23" applyNumberFormat="1" applyFont="1" applyFill="1" applyBorder="1" applyAlignment="1">
      <alignment vertical="center" wrapText="1"/>
    </xf>
    <xf numFmtId="0" fontId="15" fillId="2" borderId="3" xfId="0" applyFont="1" applyFill="1" applyBorder="1" applyAlignment="1">
      <alignment horizontal="justify" vertical="center" wrapText="1"/>
    </xf>
    <xf numFmtId="0" fontId="15" fillId="2" borderId="3" xfId="0" applyFont="1" applyFill="1" applyBorder="1" applyAlignment="1">
      <alignment horizontal="center" wrapText="1"/>
    </xf>
    <xf numFmtId="0" fontId="15" fillId="2" borderId="0" xfId="0" applyFont="1" applyFill="1" applyAlignment="1">
      <alignment wrapText="1"/>
    </xf>
    <xf numFmtId="188" fontId="15" fillId="2" borderId="3" xfId="0" applyNumberFormat="1" applyFont="1" applyFill="1" applyBorder="1" applyAlignment="1">
      <alignment horizontal="center" vertical="center"/>
    </xf>
    <xf numFmtId="0" fontId="15" fillId="2" borderId="3" xfId="0" applyFont="1" applyFill="1" applyBorder="1" applyAlignment="1">
      <alignment wrapText="1"/>
    </xf>
    <xf numFmtId="3" fontId="15" fillId="2" borderId="3" xfId="0" applyNumberFormat="1" applyFont="1" applyFill="1" applyBorder="1" applyAlignment="1">
      <alignment horizontal="center" wrapText="1"/>
    </xf>
    <xf numFmtId="3" fontId="15" fillId="2" borderId="3" xfId="0" applyNumberFormat="1" applyFont="1" applyFill="1" applyBorder="1" applyAlignment="1">
      <alignment horizontal="right" vertical="center"/>
    </xf>
    <xf numFmtId="3" fontId="15" fillId="2" borderId="3" xfId="0" applyNumberFormat="1" applyFont="1" applyFill="1" applyBorder="1" applyAlignment="1">
      <alignment horizontal="right" vertical="center" wrapText="1"/>
    </xf>
    <xf numFmtId="1" fontId="15" fillId="2" borderId="3" xfId="124" applyNumberFormat="1" applyFont="1" applyFill="1" applyBorder="1" applyAlignment="1">
      <alignment horizontal="center" vertical="center" wrapText="1"/>
    </xf>
    <xf numFmtId="3" fontId="15" fillId="2" borderId="3" xfId="124" applyNumberFormat="1" applyFont="1" applyFill="1" applyBorder="1" applyAlignment="1">
      <alignment horizontal="center" vertical="center" wrapText="1"/>
    </xf>
    <xf numFmtId="170" fontId="15" fillId="2" borderId="3" xfId="23" applyNumberFormat="1" applyFont="1" applyFill="1" applyBorder="1" applyAlignment="1">
      <alignment horizontal="center" vertical="center" wrapText="1"/>
    </xf>
    <xf numFmtId="0" fontId="22" fillId="2" borderId="0" xfId="0" applyFont="1" applyFill="1" applyAlignment="1">
      <alignment vertical="center"/>
    </xf>
    <xf numFmtId="1" fontId="15" fillId="2" borderId="3" xfId="0" applyNumberFormat="1" applyFont="1" applyFill="1" applyBorder="1" applyAlignment="1">
      <alignment horizontal="justify" vertical="center" wrapText="1"/>
    </xf>
    <xf numFmtId="3" fontId="15" fillId="2" borderId="0" xfId="0" applyNumberFormat="1" applyFont="1" applyFill="1"/>
    <xf numFmtId="3" fontId="12" fillId="2" borderId="3" xfId="0" applyNumberFormat="1" applyFont="1" applyFill="1" applyBorder="1" applyAlignment="1">
      <alignment horizontal="center" vertical="center" wrapText="1"/>
    </xf>
    <xf numFmtId="0" fontId="12" fillId="2" borderId="0" xfId="0" applyFont="1" applyFill="1" applyAlignment="1">
      <alignment horizontal="center" vertical="center"/>
    </xf>
    <xf numFmtId="170" fontId="15" fillId="2" borderId="3" xfId="0" applyNumberFormat="1" applyFont="1" applyFill="1" applyBorder="1" applyAlignment="1">
      <alignment horizontal="center" vertical="center" wrapText="1"/>
    </xf>
    <xf numFmtId="1" fontId="22" fillId="2" borderId="3" xfId="86" applyNumberFormat="1" applyFont="1" applyFill="1" applyBorder="1" applyAlignment="1">
      <alignment horizontal="left" vertical="center" wrapText="1"/>
    </xf>
    <xf numFmtId="1" fontId="15" fillId="2" borderId="3" xfId="86" applyNumberFormat="1" applyFont="1" applyFill="1" applyBorder="1" applyAlignment="1">
      <alignment horizontal="justify" vertical="center" wrapText="1"/>
    </xf>
    <xf numFmtId="14" fontId="15" fillId="2" borderId="3" xfId="0" applyNumberFormat="1" applyFont="1" applyFill="1" applyBorder="1" applyAlignment="1">
      <alignment horizontal="center" vertical="center" wrapText="1"/>
    </xf>
    <xf numFmtId="1" fontId="15" fillId="2" borderId="3" xfId="0" applyNumberFormat="1" applyFont="1" applyFill="1" applyBorder="1" applyAlignment="1">
      <alignment vertical="center"/>
    </xf>
    <xf numFmtId="1" fontId="15" fillId="2" borderId="3" xfId="86" quotePrefix="1" applyNumberFormat="1" applyFont="1" applyFill="1" applyBorder="1" applyAlignment="1">
      <alignment horizontal="center" vertical="center" wrapText="1"/>
    </xf>
    <xf numFmtId="0" fontId="15" fillId="2" borderId="3" xfId="124" applyFont="1" applyFill="1" applyBorder="1" applyAlignment="1">
      <alignment horizontal="left" vertical="center" wrapText="1"/>
    </xf>
    <xf numFmtId="49" fontId="15" fillId="2" borderId="3" xfId="125" quotePrefix="1" applyNumberFormat="1" applyFont="1" applyFill="1" applyBorder="1" applyAlignment="1">
      <alignment horizontal="center" vertical="center" wrapText="1"/>
    </xf>
    <xf numFmtId="170" fontId="15" fillId="2" borderId="3" xfId="8" applyNumberFormat="1" applyFont="1" applyFill="1" applyBorder="1" applyAlignment="1">
      <alignment horizontal="center" vertical="center" wrapText="1"/>
    </xf>
    <xf numFmtId="3" fontId="15" fillId="2" borderId="3" xfId="8" applyNumberFormat="1" applyFont="1" applyFill="1" applyBorder="1" applyAlignment="1">
      <alignment vertical="center" wrapText="1"/>
    </xf>
    <xf numFmtId="3" fontId="15" fillId="2" borderId="3" xfId="86" applyNumberFormat="1" applyFont="1" applyFill="1" applyBorder="1" applyAlignment="1">
      <alignment horizontal="left" vertical="center" wrapText="1"/>
    </xf>
    <xf numFmtId="3" fontId="15" fillId="2" borderId="3" xfId="126" applyNumberFormat="1" applyFont="1" applyFill="1" applyBorder="1" applyAlignment="1">
      <alignment horizontal="center" vertical="center" wrapText="1"/>
    </xf>
    <xf numFmtId="3" fontId="15" fillId="2" borderId="3" xfId="116" applyNumberFormat="1" applyFont="1" applyFill="1" applyBorder="1" applyAlignment="1">
      <alignment vertical="center" wrapText="1"/>
    </xf>
    <xf numFmtId="3" fontId="15" fillId="2" borderId="3" xfId="7" applyNumberFormat="1" applyFont="1" applyFill="1" applyBorder="1" applyAlignment="1">
      <alignment vertical="center" wrapText="1"/>
    </xf>
    <xf numFmtId="0" fontId="15" fillId="2" borderId="0" xfId="0" applyFont="1" applyFill="1" applyAlignment="1">
      <alignment horizontal="center" vertical="center" wrapText="1"/>
    </xf>
    <xf numFmtId="170" fontId="15" fillId="2" borderId="3" xfId="116" applyNumberFormat="1" applyFont="1" applyFill="1" applyBorder="1" applyAlignment="1">
      <alignment horizontal="right" vertical="center" wrapText="1"/>
    </xf>
    <xf numFmtId="170" fontId="15" fillId="2" borderId="3" xfId="7" applyNumberFormat="1" applyFont="1" applyFill="1" applyBorder="1" applyAlignment="1">
      <alignment horizontal="right" vertical="center" wrapText="1"/>
    </xf>
    <xf numFmtId="3" fontId="15" fillId="2" borderId="3" xfId="86" applyNumberFormat="1" applyFont="1" applyFill="1" applyBorder="1" applyAlignment="1">
      <alignment horizontal="right" vertical="center" wrapText="1"/>
    </xf>
    <xf numFmtId="0" fontId="15" fillId="2" borderId="3" xfId="66" applyFont="1" applyFill="1" applyBorder="1" applyAlignment="1">
      <alignment horizontal="left" vertical="center" wrapText="1"/>
    </xf>
    <xf numFmtId="3" fontId="15" fillId="2" borderId="3" xfId="86" quotePrefix="1" applyNumberFormat="1" applyFont="1" applyFill="1" applyBorder="1" applyAlignment="1">
      <alignment horizontal="right" vertical="center" wrapText="1"/>
    </xf>
    <xf numFmtId="170" fontId="15" fillId="2" borderId="3" xfId="1" applyNumberFormat="1" applyFont="1" applyFill="1" applyBorder="1" applyAlignment="1">
      <alignment horizontal="right" vertical="center"/>
    </xf>
    <xf numFmtId="3" fontId="15" fillId="2" borderId="3" xfId="1" applyNumberFormat="1" applyFont="1" applyFill="1" applyBorder="1" applyAlignment="1">
      <alignment horizontal="right" vertical="center"/>
    </xf>
    <xf numFmtId="0" fontId="15" fillId="2" borderId="3" xfId="0" quotePrefix="1" applyFont="1" applyFill="1" applyBorder="1" applyAlignment="1">
      <alignment horizontal="center" vertical="center" wrapText="1"/>
    </xf>
    <xf numFmtId="0" fontId="20" fillId="2" borderId="0" xfId="0" applyFont="1" applyFill="1" applyAlignment="1">
      <alignment horizontal="center" vertical="center"/>
    </xf>
    <xf numFmtId="4" fontId="15" fillId="2" borderId="3" xfId="127" applyNumberFormat="1" applyFont="1" applyFill="1" applyBorder="1" applyAlignment="1">
      <alignment horizontal="left" vertical="center" wrapText="1"/>
    </xf>
    <xf numFmtId="0" fontId="15" fillId="2" borderId="3" xfId="124" applyFont="1" applyFill="1" applyBorder="1" applyAlignment="1">
      <alignment horizontal="center" vertical="center" wrapText="1"/>
    </xf>
    <xf numFmtId="0" fontId="20" fillId="2" borderId="3" xfId="0" applyFont="1" applyFill="1" applyBorder="1" applyAlignment="1">
      <alignment horizontal="center" vertical="center"/>
    </xf>
    <xf numFmtId="188" fontId="15" fillId="2" borderId="3" xfId="87" applyNumberFormat="1" applyFont="1" applyFill="1" applyBorder="1" applyAlignment="1">
      <alignment vertical="center" wrapText="1"/>
    </xf>
    <xf numFmtId="188" fontId="15" fillId="2" borderId="3" xfId="87" applyNumberFormat="1" applyFont="1" applyFill="1" applyBorder="1" applyAlignment="1">
      <alignment horizontal="center" vertical="center" wrapText="1"/>
    </xf>
    <xf numFmtId="188" fontId="15" fillId="2" borderId="3" xfId="128" applyNumberFormat="1" applyFont="1" applyFill="1" applyBorder="1" applyAlignment="1">
      <alignment horizontal="center" vertical="center" wrapText="1"/>
    </xf>
    <xf numFmtId="188" fontId="15" fillId="2" borderId="3" xfId="86" applyNumberFormat="1" applyFont="1" applyFill="1" applyBorder="1" applyAlignment="1">
      <alignment horizontal="center" vertical="center" wrapText="1"/>
    </xf>
    <xf numFmtId="3" fontId="15" fillId="2" borderId="3" xfId="124" applyNumberFormat="1" applyFont="1" applyFill="1" applyBorder="1" applyAlignment="1">
      <alignment horizontal="left" vertical="center" wrapText="1"/>
    </xf>
    <xf numFmtId="3" fontId="15" fillId="2" borderId="3" xfId="124" applyNumberFormat="1" applyFont="1" applyFill="1" applyBorder="1" applyAlignment="1">
      <alignment vertical="center" wrapText="1"/>
    </xf>
    <xf numFmtId="1" fontId="15" fillId="2" borderId="3" xfId="0" applyNumberFormat="1" applyFont="1" applyFill="1" applyBorder="1" applyAlignment="1">
      <alignment horizontal="left" vertical="center" wrapText="1"/>
    </xf>
    <xf numFmtId="0" fontId="22" fillId="2" borderId="3" xfId="0" applyFont="1" applyFill="1" applyBorder="1" applyAlignment="1">
      <alignment horizontal="left" vertical="center" wrapText="1"/>
    </xf>
    <xf numFmtId="1" fontId="22" fillId="2" borderId="3" xfId="0" applyNumberFormat="1" applyFont="1" applyFill="1" applyBorder="1" applyAlignment="1">
      <alignment horizontal="center" vertical="center" wrapText="1"/>
    </xf>
    <xf numFmtId="1" fontId="22" fillId="2" borderId="3" xfId="86" applyNumberFormat="1" applyFont="1" applyFill="1" applyBorder="1" applyAlignment="1">
      <alignment horizontal="center" vertical="center" wrapText="1"/>
    </xf>
    <xf numFmtId="3" fontId="22" fillId="2" borderId="3" xfId="86" applyNumberFormat="1" applyFont="1" applyFill="1" applyBorder="1" applyAlignment="1">
      <alignment horizontal="center" vertical="center" wrapText="1"/>
    </xf>
    <xf numFmtId="3" fontId="22" fillId="2" borderId="3" xfId="86" quotePrefix="1" applyNumberFormat="1" applyFont="1" applyFill="1" applyBorder="1" applyAlignment="1">
      <alignment vertical="center" wrapText="1"/>
    </xf>
    <xf numFmtId="3" fontId="22" fillId="2" borderId="3" xfId="0" applyNumberFormat="1" applyFont="1" applyFill="1" applyBorder="1" applyAlignment="1">
      <alignment vertical="center" wrapText="1"/>
    </xf>
    <xf numFmtId="3" fontId="22" fillId="2" borderId="3" xfId="87" applyNumberFormat="1" applyFont="1" applyFill="1" applyBorder="1" applyAlignment="1">
      <alignment vertical="center" wrapText="1"/>
    </xf>
    <xf numFmtId="3" fontId="22" fillId="2" borderId="3" xfId="86" applyNumberFormat="1" applyFont="1" applyFill="1" applyBorder="1" applyAlignment="1">
      <alignment vertical="center" wrapText="1"/>
    </xf>
    <xf numFmtId="0" fontId="22" fillId="2" borderId="3" xfId="0" applyFont="1" applyFill="1" applyBorder="1" applyAlignment="1">
      <alignment horizontal="center" vertical="center"/>
    </xf>
    <xf numFmtId="188" fontId="15" fillId="2" borderId="3" xfId="0" applyNumberFormat="1" applyFont="1" applyFill="1" applyBorder="1" applyAlignment="1">
      <alignment horizontal="center" vertical="center" wrapText="1"/>
    </xf>
    <xf numFmtId="2" fontId="15" fillId="2" borderId="3" xfId="0" applyNumberFormat="1" applyFont="1" applyFill="1" applyBorder="1" applyAlignment="1">
      <alignment horizontal="justify" vertical="center" wrapText="1"/>
    </xf>
    <xf numFmtId="1" fontId="15" fillId="2" borderId="3" xfId="87" applyNumberFormat="1" applyFont="1" applyFill="1" applyBorder="1" applyAlignment="1">
      <alignment horizontal="justify" vertical="center" wrapText="1"/>
    </xf>
    <xf numFmtId="3" fontId="15" fillId="2" borderId="3" xfId="122" applyNumberFormat="1" applyFont="1" applyFill="1" applyBorder="1" applyAlignment="1">
      <alignment vertical="center" wrapText="1"/>
    </xf>
    <xf numFmtId="3" fontId="15" fillId="2" borderId="3" xfId="129" applyNumberFormat="1" applyFont="1" applyFill="1" applyBorder="1" applyAlignment="1">
      <alignment horizontal="left" vertical="center" wrapText="1"/>
    </xf>
    <xf numFmtId="3" fontId="15" fillId="2" borderId="3" xfId="87" applyNumberFormat="1" applyFont="1" applyFill="1" applyBorder="1" applyAlignment="1">
      <alignment horizontal="right" vertical="center" wrapText="1"/>
    </xf>
    <xf numFmtId="3" fontId="15" fillId="2" borderId="3" xfId="0" applyNumberFormat="1" applyFont="1" applyFill="1" applyBorder="1" applyAlignment="1">
      <alignment horizontal="center" vertical="center"/>
    </xf>
    <xf numFmtId="188" fontId="15" fillId="2" borderId="3" xfId="86" applyNumberFormat="1" applyFont="1" applyFill="1" applyBorder="1" applyAlignment="1">
      <alignment horizontal="right" vertical="center"/>
    </xf>
    <xf numFmtId="170" fontId="15" fillId="2" borderId="3" xfId="26" applyNumberFormat="1" applyFont="1" applyFill="1" applyBorder="1" applyAlignment="1">
      <alignment horizontal="center" vertical="center" wrapText="1"/>
    </xf>
    <xf numFmtId="3" fontId="9" fillId="2" borderId="3" xfId="86" applyNumberFormat="1" applyFont="1" applyFill="1" applyBorder="1" applyAlignment="1">
      <alignment horizontal="center" vertical="center" wrapText="1"/>
    </xf>
    <xf numFmtId="0" fontId="66" fillId="2" borderId="0" xfId="0" applyFont="1" applyFill="1"/>
    <xf numFmtId="3" fontId="13" fillId="2" borderId="3" xfId="0" applyNumberFormat="1" applyFont="1" applyFill="1" applyBorder="1" applyAlignment="1">
      <alignment vertical="center"/>
    </xf>
    <xf numFmtId="3" fontId="13" fillId="2" borderId="3" xfId="86" applyNumberFormat="1" applyFont="1" applyFill="1" applyBorder="1" applyAlignment="1">
      <alignment vertical="center" wrapText="1"/>
    </xf>
    <xf numFmtId="3" fontId="13" fillId="2" borderId="3" xfId="0" applyNumberFormat="1" applyFont="1" applyFill="1" applyBorder="1" applyAlignment="1">
      <alignment vertical="center" wrapText="1"/>
    </xf>
    <xf numFmtId="0" fontId="13" fillId="2" borderId="3" xfId="0" applyFont="1" applyFill="1" applyBorder="1" applyAlignment="1">
      <alignment vertical="center" wrapText="1"/>
    </xf>
    <xf numFmtId="170" fontId="13" fillId="2" borderId="3" xfId="1" applyNumberFormat="1" applyFont="1" applyFill="1" applyBorder="1" applyAlignment="1">
      <alignment horizontal="center" vertical="center" wrapText="1"/>
    </xf>
    <xf numFmtId="170" fontId="13" fillId="2" borderId="3" xfId="1" applyNumberFormat="1" applyFont="1" applyFill="1" applyBorder="1" applyAlignment="1">
      <alignment vertical="center"/>
    </xf>
    <xf numFmtId="0" fontId="13" fillId="2" borderId="3" xfId="0" applyFont="1" applyFill="1" applyBorder="1" applyAlignment="1">
      <alignment vertical="center"/>
    </xf>
    <xf numFmtId="3" fontId="13" fillId="2" borderId="3" xfId="86" quotePrefix="1" applyNumberFormat="1" applyFont="1" applyFill="1" applyBorder="1" applyAlignment="1">
      <alignment vertical="center" wrapText="1"/>
    </xf>
    <xf numFmtId="0" fontId="13" fillId="2" borderId="0" xfId="0" applyFont="1" applyFill="1" applyAlignment="1">
      <alignment horizontal="center"/>
    </xf>
    <xf numFmtId="3" fontId="13" fillId="2" borderId="0" xfId="0" applyNumberFormat="1" applyFont="1" applyFill="1" applyAlignment="1">
      <alignment vertical="center"/>
    </xf>
    <xf numFmtId="0" fontId="8" fillId="0" borderId="3" xfId="0" applyFont="1" applyBorder="1" applyAlignment="1">
      <alignment horizontal="left" vertical="center"/>
    </xf>
    <xf numFmtId="0" fontId="4" fillId="0" borderId="3" xfId="0" applyFont="1" applyFill="1" applyBorder="1" applyAlignment="1">
      <alignment horizontal="center" vertical="center"/>
    </xf>
    <xf numFmtId="188" fontId="4" fillId="0" borderId="3" xfId="36" applyNumberFormat="1" applyFont="1" applyFill="1" applyBorder="1" applyAlignment="1">
      <alignment vertical="center" wrapText="1"/>
    </xf>
    <xf numFmtId="0" fontId="4" fillId="2" borderId="3" xfId="57" applyFont="1" applyFill="1" applyBorder="1" applyAlignment="1">
      <alignment horizontal="left" vertical="center" wrapText="1"/>
    </xf>
    <xf numFmtId="0" fontId="4" fillId="0" borderId="3" xfId="119" applyFont="1" applyFill="1" applyBorder="1" applyAlignment="1">
      <alignment horizontal="center" vertical="center" wrapText="1"/>
    </xf>
    <xf numFmtId="3" fontId="4" fillId="0" borderId="3" xfId="115"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188" fontId="4" fillId="0" borderId="3" xfId="0" applyNumberFormat="1" applyFont="1" applyBorder="1" applyAlignment="1">
      <alignment vertical="center"/>
    </xf>
    <xf numFmtId="188" fontId="4" fillId="0" borderId="3" xfId="25" applyNumberFormat="1" applyFont="1" applyFill="1" applyBorder="1" applyAlignment="1">
      <alignment horizontal="right" vertical="center" wrapText="1"/>
    </xf>
    <xf numFmtId="3" fontId="4" fillId="0" borderId="3" xfId="0" applyNumberFormat="1" applyFont="1" applyFill="1" applyBorder="1" applyAlignment="1">
      <alignment horizontal="center" vertical="center"/>
    </xf>
    <xf numFmtId="3" fontId="4" fillId="0" borderId="3" xfId="0" quotePrefix="1" applyNumberFormat="1"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66" applyFont="1" applyFill="1" applyBorder="1" applyAlignment="1">
      <alignment horizontal="center" vertical="center" wrapText="1"/>
    </xf>
    <xf numFmtId="0" fontId="4" fillId="0" borderId="3" xfId="0" applyFont="1" applyFill="1" applyBorder="1" applyAlignment="1">
      <alignment vertical="center" wrapText="1"/>
    </xf>
    <xf numFmtId="188" fontId="4" fillId="0" borderId="3" xfId="119" applyNumberFormat="1" applyFont="1" applyFill="1" applyBorder="1" applyAlignment="1">
      <alignment horizontal="right" vertical="center" wrapText="1"/>
    </xf>
    <xf numFmtId="188" fontId="4" fillId="0" borderId="3" xfId="0" applyNumberFormat="1" applyFont="1" applyFill="1" applyBorder="1" applyAlignment="1">
      <alignment vertical="center" wrapText="1"/>
    </xf>
    <xf numFmtId="1" fontId="22" fillId="2" borderId="3" xfId="86" quotePrefix="1" applyNumberFormat="1" applyFont="1" applyFill="1" applyBorder="1" applyAlignment="1">
      <alignment horizontal="center" vertical="center" wrapText="1"/>
    </xf>
    <xf numFmtId="1" fontId="12" fillId="2" borderId="3" xfId="86" quotePrefix="1" applyNumberFormat="1" applyFont="1" applyFill="1" applyBorder="1" applyAlignment="1">
      <alignment horizontal="center" vertical="center" wrapText="1"/>
    </xf>
    <xf numFmtId="0" fontId="12" fillId="2" borderId="3" xfId="0" quotePrefix="1" applyFont="1" applyFill="1" applyBorder="1" applyAlignment="1">
      <alignment horizontal="center" vertical="center" wrapText="1"/>
    </xf>
    <xf numFmtId="0" fontId="8" fillId="0" borderId="3" xfId="0" applyFont="1" applyBorder="1" applyAlignment="1">
      <alignment horizontal="center" vertical="center"/>
    </xf>
    <xf numFmtId="188" fontId="4" fillId="0" borderId="3" xfId="114" applyNumberFormat="1" applyFont="1" applyBorder="1" applyAlignment="1">
      <alignment horizontal="right" vertical="center" wrapText="1"/>
    </xf>
    <xf numFmtId="188" fontId="4" fillId="2" borderId="3" xfId="120" applyNumberFormat="1" applyFont="1" applyFill="1" applyBorder="1" applyAlignment="1">
      <alignment horizontal="right" vertical="center" wrapText="1"/>
    </xf>
    <xf numFmtId="188" fontId="4" fillId="0" borderId="3" xfId="86" applyNumberFormat="1" applyFont="1" applyBorder="1" applyAlignment="1">
      <alignment horizontal="right" vertical="center" wrapText="1"/>
    </xf>
    <xf numFmtId="3" fontId="4" fillId="0" borderId="3" xfId="0" applyNumberFormat="1" applyFont="1" applyBorder="1" applyAlignment="1">
      <alignment horizontal="center" vertical="center" wrapText="1"/>
    </xf>
    <xf numFmtId="3" fontId="4" fillId="0" borderId="3" xfId="0" quotePrefix="1" applyNumberFormat="1" applyFont="1" applyBorder="1" applyAlignment="1">
      <alignment horizontal="center" vertical="center" wrapText="1"/>
    </xf>
    <xf numFmtId="3" fontId="4" fillId="0" borderId="3" xfId="86" applyNumberFormat="1"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8" fillId="0" borderId="3" xfId="0" applyFont="1" applyBorder="1" applyAlignment="1">
      <alignment horizontal="left" vertical="center" wrapText="1"/>
    </xf>
    <xf numFmtId="3" fontId="14" fillId="2" borderId="3" xfId="86" applyNumberFormat="1" applyFont="1" applyFill="1" applyBorder="1" applyAlignment="1">
      <alignment horizontal="center" vertical="center" wrapText="1"/>
    </xf>
    <xf numFmtId="1" fontId="14" fillId="2" borderId="3" xfId="86" applyNumberFormat="1" applyFont="1" applyFill="1" applyBorder="1" applyAlignment="1">
      <alignment horizontal="center" vertical="center" wrapText="1"/>
    </xf>
    <xf numFmtId="3" fontId="14" fillId="2" borderId="3" xfId="87" applyNumberFormat="1" applyFont="1" applyFill="1" applyBorder="1" applyAlignment="1">
      <alignment vertical="center" wrapText="1"/>
    </xf>
    <xf numFmtId="3" fontId="15" fillId="2" borderId="3" xfId="0" applyNumberFormat="1" applyFont="1" applyFill="1" applyBorder="1" applyAlignment="1">
      <alignment wrapText="1"/>
    </xf>
    <xf numFmtId="0" fontId="120" fillId="0" borderId="0" xfId="0" applyFont="1"/>
    <xf numFmtId="0" fontId="9" fillId="0" borderId="5" xfId="58" applyFont="1" applyBorder="1" applyAlignment="1">
      <alignment horizontal="center" vertical="center" wrapText="1"/>
    </xf>
    <xf numFmtId="0" fontId="119" fillId="0" borderId="3" xfId="58" applyFont="1" applyBorder="1" applyAlignment="1">
      <alignment horizontal="center" vertical="center" wrapText="1"/>
    </xf>
    <xf numFmtId="0" fontId="119" fillId="0" borderId="3" xfId="58" applyFont="1" applyBorder="1" applyAlignment="1">
      <alignment vertical="center" wrapText="1"/>
    </xf>
    <xf numFmtId="3" fontId="119" fillId="0" borderId="3" xfId="58" applyNumberFormat="1" applyFont="1" applyBorder="1" applyAlignment="1">
      <alignment horizontal="right" vertical="center" wrapText="1"/>
    </xf>
    <xf numFmtId="0" fontId="121" fillId="0" borderId="0" xfId="0" applyFont="1"/>
    <xf numFmtId="0" fontId="8" fillId="0" borderId="3" xfId="58" applyFont="1" applyBorder="1" applyAlignment="1">
      <alignment horizontal="left" vertical="center" wrapText="1"/>
    </xf>
    <xf numFmtId="0" fontId="8" fillId="0" borderId="3" xfId="58" applyFont="1" applyBorder="1" applyAlignment="1">
      <alignment vertical="center" wrapText="1"/>
    </xf>
    <xf numFmtId="3" fontId="8" fillId="0" borderId="3" xfId="58" applyNumberFormat="1" applyFont="1" applyBorder="1" applyAlignment="1">
      <alignment horizontal="right" vertical="center" wrapText="1"/>
    </xf>
    <xf numFmtId="0" fontId="4" fillId="0" borderId="0" xfId="0" applyFont="1"/>
    <xf numFmtId="0" fontId="4" fillId="0" borderId="0" xfId="0" applyFont="1" applyFill="1"/>
    <xf numFmtId="188" fontId="8" fillId="0" borderId="3" xfId="0" applyNumberFormat="1" applyFont="1" applyBorder="1" applyAlignment="1">
      <alignment horizontal="right" vertical="center"/>
    </xf>
    <xf numFmtId="188" fontId="8" fillId="0" borderId="3" xfId="0" applyNumberFormat="1" applyFont="1" applyBorder="1" applyAlignment="1">
      <alignment horizontal="left" vertical="center"/>
    </xf>
    <xf numFmtId="188" fontId="8" fillId="0" borderId="0" xfId="0" applyNumberFormat="1" applyFont="1" applyAlignment="1">
      <alignment horizontal="left" vertical="center"/>
    </xf>
    <xf numFmtId="0" fontId="8" fillId="0" borderId="0" xfId="0" applyFont="1" applyAlignment="1">
      <alignment horizontal="left" vertical="center"/>
    </xf>
    <xf numFmtId="188" fontId="4" fillId="2" borderId="3" xfId="123" applyNumberFormat="1" applyFont="1" applyFill="1" applyBorder="1" applyAlignment="1">
      <alignment vertical="center"/>
    </xf>
    <xf numFmtId="188" fontId="4" fillId="0" borderId="3" xfId="123" applyNumberFormat="1" applyFont="1" applyBorder="1" applyAlignment="1">
      <alignment vertical="center"/>
    </xf>
    <xf numFmtId="0" fontId="4" fillId="0" borderId="0" xfId="0" applyFont="1" applyAlignment="1">
      <alignment horizontal="left" vertical="center"/>
    </xf>
    <xf numFmtId="188" fontId="4" fillId="2" borderId="3" xfId="123" applyNumberFormat="1" applyFont="1" applyFill="1" applyBorder="1" applyAlignment="1">
      <alignment vertical="center" wrapText="1"/>
    </xf>
    <xf numFmtId="188" fontId="4" fillId="0" borderId="3" xfId="123" applyNumberFormat="1" applyFont="1" applyBorder="1" applyAlignment="1">
      <alignment vertical="center" wrapText="1"/>
    </xf>
    <xf numFmtId="0" fontId="116" fillId="0" borderId="0" xfId="0" applyFont="1" applyAlignment="1">
      <alignment vertical="center" wrapText="1"/>
    </xf>
    <xf numFmtId="0" fontId="22" fillId="2" borderId="3" xfId="0" applyFont="1" applyFill="1" applyBorder="1" applyAlignment="1">
      <alignment horizontal="center" vertical="center" wrapText="1"/>
    </xf>
    <xf numFmtId="3" fontId="121" fillId="0" borderId="0" xfId="0" applyNumberFormat="1" applyFont="1"/>
    <xf numFmtId="3" fontId="4" fillId="2" borderId="3" xfId="0" applyNumberFormat="1" applyFont="1" applyFill="1" applyBorder="1" applyAlignment="1">
      <alignment horizontal="center" vertical="center" wrapText="1"/>
    </xf>
    <xf numFmtId="191" fontId="12" fillId="2" borderId="3" xfId="87" applyNumberFormat="1" applyFont="1" applyFill="1" applyBorder="1" applyAlignment="1">
      <alignment vertical="center" wrapText="1"/>
    </xf>
    <xf numFmtId="3" fontId="12" fillId="2" borderId="3" xfId="0" applyNumberFormat="1" applyFont="1" applyFill="1" applyBorder="1" applyAlignment="1">
      <alignment vertical="center" wrapText="1"/>
    </xf>
    <xf numFmtId="49" fontId="4" fillId="2" borderId="12" xfId="116" quotePrefix="1"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3" fontId="4" fillId="2" borderId="3" xfId="7" applyNumberFormat="1" applyFont="1" applyFill="1" applyBorder="1" applyAlignment="1">
      <alignment vertical="center" wrapText="1"/>
    </xf>
    <xf numFmtId="49" fontId="4" fillId="2" borderId="3" xfId="116" applyNumberFormat="1" applyFont="1" applyFill="1" applyBorder="1" applyAlignment="1">
      <alignment horizontal="center" vertical="center" wrapText="1"/>
    </xf>
    <xf numFmtId="3" fontId="4" fillId="2" borderId="3" xfId="86" quotePrefix="1" applyNumberFormat="1" applyFont="1" applyFill="1" applyBorder="1" applyAlignment="1">
      <alignment horizontal="right" vertical="center" wrapText="1"/>
    </xf>
    <xf numFmtId="0" fontId="15" fillId="2" borderId="3" xfId="0" applyFont="1" applyFill="1" applyBorder="1" applyAlignment="1">
      <alignment vertical="center"/>
    </xf>
    <xf numFmtId="1" fontId="4" fillId="2" borderId="3" xfId="86" applyNumberFormat="1" applyFont="1" applyFill="1" applyBorder="1" applyAlignment="1">
      <alignment horizontal="center" vertical="center" wrapText="1"/>
    </xf>
    <xf numFmtId="1" fontId="60" fillId="2" borderId="3" xfId="86" applyNumberFormat="1" applyFont="1" applyFill="1" applyBorder="1" applyAlignment="1">
      <alignment horizontal="center" vertical="center" wrapText="1"/>
    </xf>
    <xf numFmtId="0" fontId="60" fillId="2" borderId="3" xfId="0" applyFont="1" applyFill="1" applyBorder="1" applyAlignment="1">
      <alignment horizontal="left" vertical="center" wrapText="1"/>
    </xf>
    <xf numFmtId="0" fontId="60" fillId="2" borderId="3" xfId="89" applyFont="1" applyFill="1" applyBorder="1" applyAlignment="1">
      <alignment horizontal="center" vertical="center" wrapText="1"/>
    </xf>
    <xf numFmtId="0" fontId="60" fillId="2" borderId="6" xfId="0" applyFont="1" applyFill="1" applyBorder="1" applyAlignment="1">
      <alignment horizontal="center" vertical="center" wrapText="1"/>
    </xf>
    <xf numFmtId="3" fontId="60" fillId="2" borderId="6" xfId="0" applyNumberFormat="1" applyFont="1" applyFill="1" applyBorder="1" applyAlignment="1">
      <alignment horizontal="right" vertical="center" wrapText="1"/>
    </xf>
    <xf numFmtId="3" fontId="60" fillId="2" borderId="3" xfId="86" applyNumberFormat="1" applyFont="1" applyFill="1" applyBorder="1" applyAlignment="1">
      <alignment horizontal="right" vertical="center" wrapText="1"/>
    </xf>
    <xf numFmtId="3" fontId="60" fillId="2" borderId="3" xfId="86" applyNumberFormat="1" applyFont="1" applyFill="1" applyBorder="1" applyAlignment="1">
      <alignment horizontal="center" vertical="center" wrapText="1"/>
    </xf>
    <xf numFmtId="3" fontId="122" fillId="2" borderId="3" xfId="86" quotePrefix="1" applyNumberFormat="1" applyFont="1" applyFill="1" applyBorder="1" applyAlignment="1">
      <alignment horizontal="center" vertical="center" wrapText="1"/>
    </xf>
    <xf numFmtId="3" fontId="60" fillId="2" borderId="0" xfId="86" applyNumberFormat="1" applyFont="1" applyFill="1" applyAlignment="1">
      <alignment vertical="center" wrapText="1"/>
    </xf>
    <xf numFmtId="3" fontId="21" fillId="2" borderId="3" xfId="86" applyNumberFormat="1" applyFont="1" applyFill="1" applyBorder="1" applyAlignment="1">
      <alignment horizontal="left" vertical="center" wrapText="1"/>
    </xf>
    <xf numFmtId="3" fontId="66" fillId="2" borderId="3" xfId="86" applyNumberFormat="1" applyFont="1" applyFill="1" applyBorder="1" applyAlignment="1">
      <alignment horizontal="left" vertical="center" wrapText="1"/>
    </xf>
    <xf numFmtId="0" fontId="66" fillId="2" borderId="2" xfId="0" applyNumberFormat="1" applyFont="1" applyFill="1" applyBorder="1" applyAlignment="1">
      <alignment vertical="center" wrapText="1"/>
    </xf>
    <xf numFmtId="0" fontId="66" fillId="2" borderId="3" xfId="0" applyNumberFormat="1" applyFont="1" applyFill="1" applyBorder="1" applyAlignment="1">
      <alignment horizontal="left" vertical="center" wrapText="1"/>
    </xf>
    <xf numFmtId="188" fontId="66" fillId="2" borderId="3" xfId="0" applyNumberFormat="1" applyFont="1" applyFill="1" applyBorder="1" applyAlignment="1">
      <alignment horizontal="right" vertical="center" wrapText="1"/>
    </xf>
    <xf numFmtId="0" fontId="60" fillId="2" borderId="3" xfId="86" applyFont="1" applyFill="1" applyBorder="1" applyAlignment="1">
      <alignment horizontal="center" vertical="center" wrapText="1"/>
    </xf>
    <xf numFmtId="0" fontId="60" fillId="2" borderId="3" xfId="89" applyFont="1" applyFill="1" applyBorder="1" applyAlignment="1">
      <alignment horizontal="left" vertical="center" wrapText="1"/>
    </xf>
    <xf numFmtId="188" fontId="60" fillId="2" borderId="3" xfId="0" applyNumberFormat="1" applyFont="1" applyFill="1" applyBorder="1" applyAlignment="1">
      <alignment horizontal="center" vertical="center" wrapText="1"/>
    </xf>
    <xf numFmtId="0" fontId="4" fillId="0" borderId="3" xfId="113" applyFont="1" applyFill="1" applyBorder="1" applyAlignment="1">
      <alignment vertical="center" wrapText="1"/>
    </xf>
    <xf numFmtId="0" fontId="4" fillId="0" borderId="3" xfId="58" applyFont="1" applyFill="1" applyBorder="1" applyAlignment="1">
      <alignment horizontal="center" vertical="center" wrapText="1"/>
    </xf>
    <xf numFmtId="188" fontId="4" fillId="0" borderId="3" xfId="58" applyNumberFormat="1" applyFont="1" applyFill="1" applyBorder="1" applyAlignment="1">
      <alignment horizontal="right" vertical="center" wrapText="1"/>
    </xf>
    <xf numFmtId="188" fontId="4" fillId="0" borderId="3" xfId="0" applyNumberFormat="1" applyFont="1" applyFill="1" applyBorder="1" applyAlignment="1">
      <alignment vertical="center"/>
    </xf>
    <xf numFmtId="3" fontId="4" fillId="0" borderId="3" xfId="0" applyNumberFormat="1" applyFont="1" applyFill="1" applyBorder="1" applyAlignment="1">
      <alignment horizontal="right" vertical="center" wrapText="1"/>
    </xf>
    <xf numFmtId="0" fontId="4" fillId="0" borderId="3" xfId="57" applyFont="1" applyFill="1" applyBorder="1" applyAlignment="1">
      <alignment horizontal="left" vertical="center" wrapText="1"/>
    </xf>
    <xf numFmtId="188" fontId="4" fillId="0" borderId="3" xfId="0" applyNumberFormat="1" applyFont="1" applyFill="1" applyBorder="1" applyAlignment="1">
      <alignment horizontal="right" vertical="center" wrapText="1"/>
    </xf>
    <xf numFmtId="1" fontId="4" fillId="0" borderId="3" xfId="87" applyNumberFormat="1" applyFont="1" applyFill="1" applyBorder="1" applyAlignment="1">
      <alignment horizontal="center" vertical="center" wrapText="1"/>
    </xf>
    <xf numFmtId="3" fontId="4" fillId="0" borderId="3" xfId="86" applyNumberFormat="1" applyFont="1" applyFill="1" applyBorder="1" applyAlignment="1">
      <alignment horizontal="center" vertical="center" wrapText="1"/>
    </xf>
    <xf numFmtId="188" fontId="4" fillId="0" borderId="3" xfId="36" applyNumberFormat="1" applyFont="1" applyFill="1" applyBorder="1" applyAlignment="1">
      <alignment horizontal="right" vertical="center" wrapText="1"/>
    </xf>
    <xf numFmtId="3" fontId="4" fillId="0" borderId="3" xfId="58" applyNumberFormat="1" applyFont="1" applyFill="1" applyBorder="1" applyAlignment="1">
      <alignment horizontal="right" vertical="center" wrapText="1"/>
    </xf>
    <xf numFmtId="3" fontId="4" fillId="2" borderId="3" xfId="58" applyNumberFormat="1" applyFont="1" applyFill="1" applyBorder="1" applyAlignment="1">
      <alignment horizontal="right" vertical="center" wrapText="1"/>
    </xf>
    <xf numFmtId="0" fontId="4" fillId="0" borderId="3" xfId="0" quotePrefix="1" applyFont="1" applyFill="1" applyBorder="1" applyAlignment="1">
      <alignment horizontal="center" vertical="center" wrapText="1"/>
    </xf>
    <xf numFmtId="188" fontId="4" fillId="2" borderId="3" xfId="36" applyNumberFormat="1" applyFont="1" applyFill="1" applyBorder="1" applyAlignment="1">
      <alignment vertical="center" wrapText="1"/>
    </xf>
    <xf numFmtId="1" fontId="27" fillId="2" borderId="3" xfId="86" applyNumberFormat="1" applyFont="1" applyFill="1" applyBorder="1" applyAlignment="1">
      <alignment horizontal="center" vertical="center" wrapText="1"/>
    </xf>
    <xf numFmtId="1" fontId="27" fillId="2" borderId="3" xfId="124"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3" fontId="27" fillId="2" borderId="3" xfId="26" applyNumberFormat="1" applyFont="1" applyFill="1" applyBorder="1" applyAlignment="1">
      <alignment horizontal="right" vertical="center" wrapText="1"/>
    </xf>
    <xf numFmtId="3" fontId="4" fillId="2" borderId="3" xfId="87" quotePrefix="1" applyNumberFormat="1" applyFont="1" applyFill="1" applyBorder="1" applyAlignment="1">
      <alignment horizontal="center" vertical="center" wrapText="1"/>
    </xf>
    <xf numFmtId="188" fontId="4" fillId="2" borderId="3" xfId="36" applyNumberFormat="1" applyFont="1" applyFill="1" applyBorder="1" applyAlignment="1">
      <alignment horizontal="center" vertical="center" wrapText="1"/>
    </xf>
    <xf numFmtId="188" fontId="4" fillId="2" borderId="3" xfId="36" applyNumberFormat="1" applyFont="1" applyFill="1" applyBorder="1" applyAlignment="1">
      <alignment horizontal="right" vertical="center" wrapText="1"/>
    </xf>
    <xf numFmtId="170" fontId="4" fillId="2" borderId="3" xfId="122" applyNumberFormat="1" applyFont="1" applyFill="1" applyBorder="1" applyAlignment="1">
      <alignment horizontal="left" vertical="center" wrapText="1"/>
    </xf>
    <xf numFmtId="188" fontId="4" fillId="2" borderId="3" xfId="36" quotePrefix="1" applyNumberFormat="1" applyFont="1" applyFill="1" applyBorder="1" applyAlignment="1">
      <alignment horizontal="center" vertical="center" wrapText="1"/>
    </xf>
    <xf numFmtId="170" fontId="4" fillId="2" borderId="3" xfId="122" applyNumberFormat="1" applyFont="1" applyFill="1" applyBorder="1" applyAlignment="1">
      <alignment horizontal="right" vertical="center" wrapText="1"/>
    </xf>
    <xf numFmtId="3" fontId="4" fillId="0" borderId="3" xfId="123" applyNumberFormat="1" applyFont="1" applyFill="1" applyBorder="1" applyAlignment="1">
      <alignment vertical="center"/>
    </xf>
    <xf numFmtId="3" fontId="116" fillId="0" borderId="0" xfId="0" applyNumberFormat="1" applyFont="1"/>
    <xf numFmtId="0" fontId="4" fillId="0" borderId="0" xfId="0" applyFont="1" applyAlignment="1">
      <alignment vertical="center" wrapText="1"/>
    </xf>
    <xf numFmtId="3" fontId="12" fillId="2" borderId="3" xfId="86" applyNumberFormat="1" applyFont="1" applyFill="1" applyBorder="1" applyAlignment="1">
      <alignment horizontal="center" vertical="center" wrapText="1"/>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2" fillId="2" borderId="3" xfId="0" applyFont="1" applyFill="1" applyBorder="1" applyAlignment="1">
      <alignment horizontal="center" vertical="center" wrapText="1"/>
    </xf>
    <xf numFmtId="188" fontId="12" fillId="2" borderId="0" xfId="0" applyNumberFormat="1" applyFont="1" applyFill="1" applyAlignment="1">
      <alignment vertical="center" wrapText="1"/>
    </xf>
    <xf numFmtId="0" fontId="12" fillId="2" borderId="0" xfId="0" applyFont="1" applyFill="1" applyAlignment="1">
      <alignment vertical="center" wrapText="1"/>
    </xf>
    <xf numFmtId="188" fontId="12" fillId="2" borderId="4" xfId="0" applyNumberFormat="1" applyFont="1" applyFill="1" applyBorder="1" applyAlignment="1">
      <alignment horizontal="center" vertical="center" wrapText="1"/>
    </xf>
    <xf numFmtId="188" fontId="12" fillId="2" borderId="5"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188" fontId="13" fillId="2" borderId="3" xfId="0" applyNumberFormat="1" applyFont="1" applyFill="1" applyBorder="1" applyAlignment="1">
      <alignment horizontal="center" vertical="center"/>
    </xf>
    <xf numFmtId="0" fontId="13" fillId="2" borderId="0" xfId="0" applyFont="1" applyFill="1" applyAlignment="1">
      <alignment horizontal="center" vertical="center"/>
    </xf>
    <xf numFmtId="188" fontId="14" fillId="2" borderId="3" xfId="0" applyNumberFormat="1" applyFont="1" applyFill="1" applyBorder="1" applyAlignment="1">
      <alignment horizontal="center" vertical="center" wrapText="1"/>
    </xf>
    <xf numFmtId="188" fontId="14" fillId="2" borderId="3" xfId="0" applyNumberFormat="1" applyFont="1" applyFill="1" applyBorder="1" applyAlignment="1">
      <alignment horizontal="right" vertical="center"/>
    </xf>
    <xf numFmtId="188" fontId="14" fillId="2" borderId="3" xfId="0" applyNumberFormat="1" applyFont="1" applyFill="1" applyBorder="1" applyAlignment="1">
      <alignment vertical="center"/>
    </xf>
    <xf numFmtId="188" fontId="14" fillId="2" borderId="0" xfId="0" applyNumberFormat="1" applyFont="1" applyFill="1" applyAlignment="1">
      <alignment vertical="center"/>
    </xf>
    <xf numFmtId="0" fontId="14" fillId="2" borderId="0" xfId="0" applyFont="1" applyFill="1" applyAlignment="1">
      <alignment vertical="center"/>
    </xf>
    <xf numFmtId="188" fontId="12" fillId="2" borderId="3" xfId="0" applyNumberFormat="1" applyFont="1" applyFill="1" applyBorder="1" applyAlignment="1">
      <alignment horizontal="center" vertical="center" wrapText="1"/>
    </xf>
    <xf numFmtId="188" fontId="12" fillId="2" borderId="3" xfId="0" applyNumberFormat="1" applyFont="1" applyFill="1" applyBorder="1" applyAlignment="1">
      <alignment horizontal="left" vertical="center" wrapText="1"/>
    </xf>
    <xf numFmtId="188" fontId="12" fillId="2" borderId="3" xfId="0" applyNumberFormat="1" applyFont="1" applyFill="1" applyBorder="1" applyAlignment="1">
      <alignment vertical="center" wrapText="1"/>
    </xf>
    <xf numFmtId="188" fontId="12" fillId="2" borderId="3" xfId="0" applyNumberFormat="1" applyFont="1" applyFill="1" applyBorder="1" applyAlignment="1">
      <alignment horizontal="right" vertical="center" wrapText="1"/>
    </xf>
    <xf numFmtId="188" fontId="12" fillId="2" borderId="3" xfId="0" applyNumberFormat="1" applyFont="1" applyFill="1" applyBorder="1" applyAlignment="1">
      <alignment vertical="center"/>
    </xf>
    <xf numFmtId="188" fontId="12" fillId="2" borderId="0" xfId="0" applyNumberFormat="1" applyFont="1" applyFill="1" applyAlignment="1">
      <alignment vertical="center"/>
    </xf>
    <xf numFmtId="0" fontId="12" fillId="2" borderId="0" xfId="0" applyFont="1" applyFill="1" applyAlignment="1">
      <alignment vertical="center"/>
    </xf>
    <xf numFmtId="188" fontId="12" fillId="2" borderId="3" xfId="36" applyNumberFormat="1" applyFont="1" applyFill="1" applyBorder="1" applyAlignment="1">
      <alignment horizontal="left" vertical="center" wrapText="1"/>
    </xf>
    <xf numFmtId="1" fontId="12" fillId="2" borderId="3" xfId="87" applyNumberFormat="1" applyFont="1" applyFill="1" applyBorder="1" applyAlignment="1">
      <alignment vertical="center" wrapText="1"/>
    </xf>
    <xf numFmtId="1" fontId="12" fillId="2" borderId="3" xfId="87" applyNumberFormat="1" applyFont="1" applyFill="1" applyBorder="1" applyAlignment="1">
      <alignment horizontal="center" vertical="center" wrapText="1"/>
    </xf>
    <xf numFmtId="181" fontId="12" fillId="2" borderId="3" xfId="0" applyNumberFormat="1" applyFont="1" applyFill="1" applyBorder="1" applyAlignment="1">
      <alignment horizontal="center" vertical="center" wrapText="1"/>
    </xf>
    <xf numFmtId="188" fontId="12" fillId="2" borderId="3" xfId="22" applyNumberFormat="1" applyFont="1" applyFill="1" applyBorder="1" applyAlignment="1">
      <alignment horizontal="right" vertical="center" wrapText="1"/>
    </xf>
    <xf numFmtId="188" fontId="15" fillId="2" borderId="3" xfId="0" quotePrefix="1" applyNumberFormat="1" applyFont="1" applyFill="1" applyBorder="1" applyAlignment="1">
      <alignment horizontal="center" vertical="center" wrapText="1"/>
    </xf>
    <xf numFmtId="188" fontId="15" fillId="2" borderId="3" xfId="0" applyNumberFormat="1" applyFont="1" applyFill="1" applyBorder="1" applyAlignment="1">
      <alignment vertical="center"/>
    </xf>
    <xf numFmtId="188" fontId="15" fillId="2" borderId="3" xfId="0" applyNumberFormat="1" applyFont="1" applyFill="1" applyBorder="1" applyAlignment="1">
      <alignment horizontal="right" vertical="center" wrapText="1"/>
    </xf>
    <xf numFmtId="188" fontId="15" fillId="2" borderId="3" xfId="0" applyNumberFormat="1" applyFont="1" applyFill="1" applyBorder="1" applyAlignment="1">
      <alignment horizontal="right" vertical="center"/>
    </xf>
    <xf numFmtId="188" fontId="15" fillId="2" borderId="3" xfId="0" applyNumberFormat="1" applyFont="1" applyFill="1" applyBorder="1" applyAlignment="1">
      <alignment vertical="center" wrapText="1"/>
    </xf>
    <xf numFmtId="188" fontId="15" fillId="2" borderId="0" xfId="0" applyNumberFormat="1" applyFont="1" applyFill="1" applyAlignment="1">
      <alignment vertical="center" wrapText="1"/>
    </xf>
    <xf numFmtId="1" fontId="12" fillId="2" borderId="3" xfId="87" quotePrefix="1" applyNumberFormat="1" applyFont="1" applyFill="1" applyBorder="1" applyAlignment="1">
      <alignment horizontal="center" vertical="center" wrapText="1"/>
    </xf>
    <xf numFmtId="188" fontId="12" fillId="2" borderId="3" xfId="0" applyNumberFormat="1" applyFont="1" applyFill="1" applyBorder="1"/>
    <xf numFmtId="37" fontId="15" fillId="2" borderId="2" xfId="87" applyNumberFormat="1" applyFont="1" applyFill="1" applyBorder="1" applyAlignment="1">
      <alignment horizontal="center" vertical="center" wrapText="1"/>
    </xf>
    <xf numFmtId="0" fontId="15" fillId="2" borderId="0" xfId="0" applyFont="1" applyFill="1" applyAlignment="1">
      <alignment horizontal="left" vertical="center" wrapText="1"/>
    </xf>
    <xf numFmtId="1" fontId="15" fillId="2" borderId="2" xfId="87" applyNumberFormat="1"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88" fontId="15" fillId="2" borderId="2" xfId="0" applyNumberFormat="1" applyFont="1" applyFill="1" applyBorder="1" applyAlignment="1">
      <alignment horizontal="center" vertical="center" wrapText="1"/>
    </xf>
    <xf numFmtId="188" fontId="15" fillId="2" borderId="2" xfId="0" applyNumberFormat="1" applyFont="1" applyFill="1" applyBorder="1" applyAlignment="1">
      <alignment horizontal="right" vertical="center" wrapText="1"/>
    </xf>
    <xf numFmtId="37" fontId="12" fillId="2" borderId="3" xfId="87" quotePrefix="1" applyNumberFormat="1" applyFont="1" applyFill="1" applyBorder="1" applyAlignment="1">
      <alignment horizontal="center" vertical="center" wrapText="1"/>
    </xf>
    <xf numFmtId="0" fontId="12" fillId="2" borderId="3" xfId="87" applyFont="1" applyFill="1" applyBorder="1" applyAlignment="1">
      <alignment horizontal="left" vertical="center" wrapText="1"/>
    </xf>
    <xf numFmtId="188" fontId="12" fillId="2" borderId="2" xfId="0" applyNumberFormat="1" applyFont="1" applyFill="1" applyBorder="1" applyAlignment="1">
      <alignment horizontal="right" vertical="center" wrapText="1"/>
    </xf>
    <xf numFmtId="0" fontId="15" fillId="2" borderId="2" xfId="0" applyFont="1" applyFill="1" applyBorder="1" applyAlignment="1">
      <alignment horizontal="center" vertical="center" wrapText="1"/>
    </xf>
    <xf numFmtId="188" fontId="15" fillId="2" borderId="3" xfId="86" applyNumberFormat="1" applyFont="1" applyFill="1" applyBorder="1" applyAlignment="1">
      <alignment horizontal="right" vertical="center" wrapText="1"/>
    </xf>
    <xf numFmtId="188" fontId="15" fillId="2" borderId="3" xfId="0" applyNumberFormat="1" applyFont="1" applyFill="1" applyBorder="1"/>
    <xf numFmtId="37" fontId="12" fillId="2" borderId="2" xfId="87" quotePrefix="1" applyNumberFormat="1" applyFont="1" applyFill="1" applyBorder="1" applyAlignment="1">
      <alignment horizontal="center" vertical="center" wrapText="1"/>
    </xf>
    <xf numFmtId="0" fontId="12" fillId="2" borderId="3" xfId="0" applyFont="1" applyFill="1" applyBorder="1" applyAlignment="1">
      <alignment horizontal="left" vertical="center" wrapText="1"/>
    </xf>
    <xf numFmtId="1" fontId="12" fillId="2" borderId="2" xfId="87"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188" fontId="12" fillId="2" borderId="2" xfId="0" applyNumberFormat="1" applyFont="1" applyFill="1" applyBorder="1" applyAlignment="1">
      <alignment horizontal="center" vertical="center" wrapText="1"/>
    </xf>
    <xf numFmtId="3" fontId="15" fillId="2" borderId="3" xfId="0" applyNumberFormat="1" applyFont="1" applyFill="1" applyBorder="1" applyAlignment="1">
      <alignment horizontal="left" vertical="center" wrapText="1"/>
    </xf>
    <xf numFmtId="1" fontId="15" fillId="2" borderId="3" xfId="87" applyNumberFormat="1" applyFont="1" applyFill="1" applyBorder="1" applyAlignment="1">
      <alignment horizontal="left" vertical="center" wrapText="1"/>
    </xf>
    <xf numFmtId="0" fontId="15" fillId="2" borderId="3" xfId="87" applyFont="1" applyFill="1" applyBorder="1" applyAlignment="1">
      <alignment horizontal="left" vertical="center" wrapText="1"/>
    </xf>
    <xf numFmtId="188" fontId="15" fillId="2" borderId="3" xfId="22" applyNumberFormat="1" applyFont="1" applyFill="1" applyBorder="1" applyAlignment="1">
      <alignment horizontal="right" vertical="center" wrapText="1"/>
    </xf>
    <xf numFmtId="3" fontId="15" fillId="2" borderId="3" xfId="57" applyNumberFormat="1" applyFont="1" applyFill="1" applyBorder="1" applyAlignment="1">
      <alignment horizontal="left" vertical="center" wrapText="1"/>
    </xf>
    <xf numFmtId="3" fontId="15" fillId="2" borderId="3" xfId="87" applyNumberFormat="1" applyFont="1" applyFill="1" applyBorder="1" applyAlignment="1">
      <alignment horizontal="center" vertical="center" wrapText="1"/>
    </xf>
    <xf numFmtId="3" fontId="15" fillId="2" borderId="3" xfId="87" applyNumberFormat="1" applyFont="1" applyFill="1" applyBorder="1" applyAlignment="1">
      <alignment horizontal="left" vertical="center" wrapText="1"/>
    </xf>
    <xf numFmtId="0" fontId="7" fillId="2" borderId="0" xfId="0" applyFont="1" applyFill="1"/>
    <xf numFmtId="1" fontId="12" fillId="2" borderId="3" xfId="0" applyNumberFormat="1" applyFont="1" applyFill="1" applyBorder="1" applyAlignment="1">
      <alignment horizontal="left" vertical="center" wrapText="1"/>
    </xf>
    <xf numFmtId="1" fontId="6" fillId="2" borderId="3" xfId="0" applyNumberFormat="1" applyFont="1" applyFill="1" applyBorder="1" applyAlignment="1">
      <alignment horizontal="justify" vertical="center" wrapText="1"/>
    </xf>
    <xf numFmtId="188" fontId="12" fillId="2" borderId="3" xfId="1" applyNumberFormat="1" applyFont="1" applyFill="1" applyBorder="1" applyAlignment="1">
      <alignment vertical="center" wrapText="1"/>
    </xf>
    <xf numFmtId="0" fontId="15" fillId="2" borderId="3" xfId="67" applyFont="1" applyFill="1" applyBorder="1" applyAlignment="1">
      <alignment horizontal="left" vertical="center" wrapText="1"/>
    </xf>
    <xf numFmtId="0" fontId="15" fillId="2" borderId="3" xfId="67"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21" fillId="2" borderId="3" xfId="0" applyFont="1" applyFill="1" applyBorder="1" applyAlignment="1">
      <alignment horizontal="center" vertical="center"/>
    </xf>
    <xf numFmtId="0" fontId="12" fillId="2" borderId="3" xfId="0" applyFont="1" applyFill="1" applyBorder="1"/>
    <xf numFmtId="3" fontId="21" fillId="2" borderId="3" xfId="0" applyNumberFormat="1" applyFont="1" applyFill="1" applyBorder="1" applyAlignment="1">
      <alignment horizontal="center" vertical="center" wrapText="1"/>
    </xf>
    <xf numFmtId="0" fontId="21" fillId="2" borderId="3" xfId="0" applyFont="1" applyFill="1" applyBorder="1"/>
    <xf numFmtId="188" fontId="21" fillId="2" borderId="3" xfId="0" applyNumberFormat="1" applyFont="1" applyFill="1" applyBorder="1" applyAlignment="1">
      <alignment horizontal="right" vertical="center" wrapText="1"/>
    </xf>
    <xf numFmtId="188" fontId="7" fillId="2" borderId="3" xfId="0" applyNumberFormat="1" applyFont="1" applyFill="1" applyBorder="1"/>
    <xf numFmtId="3" fontId="15" fillId="2" borderId="3" xfId="57" applyNumberFormat="1" applyFont="1" applyFill="1" applyBorder="1" applyAlignment="1">
      <alignment horizontal="center" vertical="center" wrapText="1"/>
    </xf>
    <xf numFmtId="0" fontId="15" fillId="2" borderId="3" xfId="90" applyFont="1" applyFill="1" applyBorder="1" applyAlignment="1">
      <alignment horizontal="left" vertical="center" wrapText="1"/>
    </xf>
    <xf numFmtId="1" fontId="4" fillId="2" borderId="3" xfId="57" applyNumberFormat="1" applyFont="1" applyFill="1" applyBorder="1" applyAlignment="1">
      <alignment horizontal="center" vertical="center" wrapText="1"/>
    </xf>
    <xf numFmtId="188" fontId="15" fillId="2" borderId="3" xfId="1" applyNumberFormat="1" applyFont="1" applyFill="1" applyBorder="1" applyAlignment="1">
      <alignment vertical="center" wrapText="1"/>
    </xf>
    <xf numFmtId="1" fontId="15" fillId="2" borderId="3" xfId="57" applyNumberFormat="1"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xf>
    <xf numFmtId="188" fontId="12" fillId="2" borderId="3" xfId="0" applyNumberFormat="1" applyFont="1" applyFill="1" applyBorder="1" applyAlignment="1">
      <alignment horizontal="right" vertical="center"/>
    </xf>
    <xf numFmtId="0" fontId="7" fillId="2" borderId="3" xfId="0" applyFont="1" applyFill="1" applyBorder="1"/>
    <xf numFmtId="49" fontId="15" fillId="2" borderId="3" xfId="23" quotePrefix="1" applyNumberFormat="1" applyFont="1" applyFill="1" applyBorder="1" applyAlignment="1">
      <alignment horizontal="center" vertical="center" wrapText="1"/>
    </xf>
    <xf numFmtId="49" fontId="15" fillId="2" borderId="12" xfId="23" quotePrefix="1"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horizontal="left"/>
    </xf>
    <xf numFmtId="0" fontId="16" fillId="2" borderId="0" xfId="0" applyFont="1" applyFill="1"/>
    <xf numFmtId="188" fontId="10" fillId="2" borderId="0" xfId="0" applyNumberFormat="1" applyFont="1" applyFill="1"/>
    <xf numFmtId="1" fontId="59" fillId="2" borderId="0" xfId="86" applyNumberFormat="1" applyFont="1" applyFill="1" applyAlignment="1">
      <alignment vertical="center" wrapText="1"/>
    </xf>
    <xf numFmtId="1" fontId="60" fillId="2" borderId="0" xfId="86" applyNumberFormat="1" applyFont="1" applyFill="1" applyAlignment="1">
      <alignment vertical="center" wrapText="1"/>
    </xf>
    <xf numFmtId="1" fontId="122" fillId="2" borderId="0" xfId="86" applyNumberFormat="1" applyFont="1" applyFill="1" applyAlignment="1">
      <alignment vertical="center" wrapText="1"/>
    </xf>
    <xf numFmtId="3" fontId="122" fillId="2" borderId="0" xfId="86" applyNumberFormat="1" applyFont="1" applyFill="1" applyAlignment="1">
      <alignment horizontal="center" vertical="center" wrapText="1"/>
    </xf>
    <xf numFmtId="3" fontId="123" fillId="2" borderId="3" xfId="86" applyNumberFormat="1" applyFont="1" applyFill="1" applyBorder="1" applyAlignment="1">
      <alignment horizontal="center" vertical="center" wrapText="1"/>
    </xf>
    <xf numFmtId="3" fontId="59" fillId="2" borderId="3" xfId="86" applyNumberFormat="1" applyFont="1" applyFill="1" applyBorder="1" applyAlignment="1">
      <alignment horizontal="center" vertical="center" wrapText="1"/>
    </xf>
    <xf numFmtId="3" fontId="59" fillId="2" borderId="0" xfId="86" applyNumberFormat="1" applyFont="1" applyFill="1" applyAlignment="1">
      <alignment vertical="center" wrapText="1"/>
    </xf>
    <xf numFmtId="3" fontId="125" fillId="2" borderId="3" xfId="86" applyNumberFormat="1" applyFont="1" applyFill="1" applyBorder="1" applyAlignment="1">
      <alignment horizontal="center" vertical="center" wrapText="1"/>
    </xf>
    <xf numFmtId="3" fontId="126" fillId="2" borderId="3" xfId="86" applyNumberFormat="1" applyFont="1" applyFill="1" applyBorder="1" applyAlignment="1">
      <alignment horizontal="center" vertical="center" wrapText="1"/>
    </xf>
    <xf numFmtId="3" fontId="126" fillId="2" borderId="3" xfId="86" applyNumberFormat="1" applyFont="1" applyFill="1" applyBorder="1" applyAlignment="1">
      <alignment horizontal="right" vertical="center" wrapText="1"/>
    </xf>
    <xf numFmtId="3" fontId="125" fillId="2" borderId="0" xfId="86" applyNumberFormat="1" applyFont="1" applyFill="1" applyAlignment="1">
      <alignment vertical="center" wrapText="1"/>
    </xf>
    <xf numFmtId="3" fontId="122" fillId="2" borderId="3" xfId="86" applyNumberFormat="1" applyFont="1" applyFill="1" applyBorder="1" applyAlignment="1">
      <alignment horizontal="center" vertical="center" wrapText="1"/>
    </xf>
    <xf numFmtId="3" fontId="122" fillId="2" borderId="3" xfId="86" applyNumberFormat="1" applyFont="1" applyFill="1" applyBorder="1" applyAlignment="1">
      <alignment horizontal="left" vertical="center" wrapText="1"/>
    </xf>
    <xf numFmtId="1" fontId="123" fillId="2" borderId="3" xfId="86" applyNumberFormat="1" applyFont="1" applyFill="1" applyBorder="1" applyAlignment="1">
      <alignment horizontal="center" vertical="center" wrapText="1"/>
    </xf>
    <xf numFmtId="1" fontId="123" fillId="2" borderId="3" xfId="86" applyNumberFormat="1" applyFont="1" applyFill="1" applyBorder="1" applyAlignment="1">
      <alignment horizontal="right" vertical="center" wrapText="1"/>
    </xf>
    <xf numFmtId="3" fontId="122" fillId="2" borderId="3" xfId="86" applyNumberFormat="1" applyFont="1" applyFill="1" applyBorder="1" applyAlignment="1">
      <alignment horizontal="right" vertical="center" wrapText="1"/>
    </xf>
    <xf numFmtId="1" fontId="122" fillId="2" borderId="3" xfId="86" applyNumberFormat="1" applyFont="1" applyFill="1" applyBorder="1" applyAlignment="1">
      <alignment horizontal="right" vertical="center" wrapText="1"/>
    </xf>
    <xf numFmtId="3" fontId="122" fillId="2" borderId="3" xfId="0" applyNumberFormat="1" applyFont="1" applyFill="1" applyBorder="1" applyAlignment="1">
      <alignment vertical="center" wrapText="1"/>
    </xf>
    <xf numFmtId="188" fontId="122" fillId="2" borderId="3" xfId="86" applyNumberFormat="1" applyFont="1" applyFill="1" applyBorder="1" applyAlignment="1">
      <alignment horizontal="right" vertical="center" wrapText="1"/>
    </xf>
    <xf numFmtId="1" fontId="122" fillId="2" borderId="3" xfId="86" applyNumberFormat="1" applyFont="1" applyFill="1" applyBorder="1" applyAlignment="1">
      <alignment horizontal="center" vertical="center" wrapText="1"/>
    </xf>
    <xf numFmtId="1" fontId="123" fillId="2" borderId="0" xfId="86" applyNumberFormat="1" applyFont="1" applyFill="1" applyAlignment="1">
      <alignment vertical="center" wrapText="1"/>
    </xf>
    <xf numFmtId="3" fontId="59" fillId="2" borderId="3" xfId="86" applyNumberFormat="1" applyFont="1" applyFill="1" applyBorder="1" applyAlignment="1">
      <alignment horizontal="left" vertical="center" wrapText="1"/>
    </xf>
    <xf numFmtId="3" fontId="123" fillId="2" borderId="3" xfId="86" applyNumberFormat="1" applyFont="1" applyFill="1" applyBorder="1" applyAlignment="1">
      <alignment horizontal="left" vertical="center" wrapText="1"/>
    </xf>
    <xf numFmtId="3" fontId="123" fillId="2" borderId="3" xfId="86" applyNumberFormat="1" applyFont="1" applyFill="1" applyBorder="1" applyAlignment="1">
      <alignment horizontal="right" vertical="center" wrapText="1"/>
    </xf>
    <xf numFmtId="3" fontId="123" fillId="2" borderId="3" xfId="0" applyNumberFormat="1" applyFont="1" applyFill="1" applyBorder="1" applyAlignment="1">
      <alignment vertical="center" wrapText="1"/>
    </xf>
    <xf numFmtId="188" fontId="59" fillId="2" borderId="3" xfId="36" applyNumberFormat="1" applyFont="1" applyFill="1" applyBorder="1" applyAlignment="1">
      <alignment vertical="center" wrapText="1"/>
    </xf>
    <xf numFmtId="3" fontId="59" fillId="2" borderId="3" xfId="86" applyNumberFormat="1" applyFont="1" applyFill="1" applyBorder="1" applyAlignment="1">
      <alignment horizontal="right" vertical="center" wrapText="1"/>
    </xf>
    <xf numFmtId="0" fontId="59" fillId="2" borderId="3" xfId="0" applyFont="1" applyFill="1" applyBorder="1" applyAlignment="1">
      <alignment horizontal="left" vertical="center" wrapText="1"/>
    </xf>
    <xf numFmtId="1" fontId="59" fillId="2" borderId="3" xfId="86" applyNumberFormat="1" applyFont="1" applyFill="1" applyBorder="1" applyAlignment="1">
      <alignment horizontal="center" vertical="center" wrapText="1"/>
    </xf>
    <xf numFmtId="1" fontId="59" fillId="2" borderId="3" xfId="86" applyNumberFormat="1" applyFont="1" applyFill="1" applyBorder="1" applyAlignment="1">
      <alignment horizontal="right" vertical="center" wrapText="1"/>
    </xf>
    <xf numFmtId="3" fontId="59" fillId="2" borderId="3" xfId="0" applyNumberFormat="1" applyFont="1" applyFill="1" applyBorder="1" applyAlignment="1">
      <alignment vertical="center" wrapText="1"/>
    </xf>
    <xf numFmtId="0" fontId="59" fillId="2" borderId="7" xfId="4" applyFont="1" applyFill="1" applyBorder="1" applyAlignment="1">
      <alignment horizontal="left" vertical="center" wrapText="1"/>
    </xf>
    <xf numFmtId="188" fontId="122" fillId="2" borderId="3" xfId="36" applyNumberFormat="1" applyFont="1" applyFill="1" applyBorder="1" applyAlignment="1">
      <alignment vertical="center" wrapText="1"/>
    </xf>
    <xf numFmtId="188" fontId="60" fillId="2" borderId="3" xfId="36" applyNumberFormat="1" applyFont="1" applyFill="1" applyBorder="1" applyAlignment="1">
      <alignment vertical="center" wrapText="1"/>
    </xf>
    <xf numFmtId="0" fontId="60" fillId="2" borderId="3" xfId="64" applyFont="1" applyFill="1" applyBorder="1" applyAlignment="1">
      <alignment horizontal="center" vertical="center" wrapText="1"/>
    </xf>
    <xf numFmtId="188" fontId="60" fillId="2" borderId="3" xfId="86" applyNumberFormat="1" applyFont="1" applyFill="1" applyBorder="1" applyAlignment="1">
      <alignment horizontal="right" vertical="center" wrapText="1"/>
    </xf>
    <xf numFmtId="1" fontId="60" fillId="2" borderId="3" xfId="86" applyNumberFormat="1" applyFont="1" applyFill="1" applyBorder="1" applyAlignment="1">
      <alignment horizontal="right" vertical="center" wrapText="1"/>
    </xf>
    <xf numFmtId="188" fontId="60" fillId="2" borderId="3" xfId="36" applyNumberFormat="1" applyFont="1" applyFill="1" applyBorder="1" applyAlignment="1">
      <alignment horizontal="center" vertical="center" wrapText="1"/>
    </xf>
    <xf numFmtId="49" fontId="60" fillId="2" borderId="3" xfId="86" applyNumberFormat="1" applyFont="1" applyFill="1" applyBorder="1" applyAlignment="1">
      <alignment horizontal="center" vertical="center" wrapText="1"/>
    </xf>
    <xf numFmtId="0" fontId="60" fillId="2" borderId="3" xfId="64" applyFont="1" applyFill="1" applyBorder="1" applyAlignment="1">
      <alignment horizontal="justify" vertical="center" wrapText="1"/>
    </xf>
    <xf numFmtId="3" fontId="60" fillId="2" borderId="3" xfId="0" applyNumberFormat="1" applyFont="1" applyFill="1" applyBorder="1" applyAlignment="1">
      <alignment vertical="center" wrapText="1"/>
    </xf>
    <xf numFmtId="0" fontId="122" fillId="2" borderId="3" xfId="64" applyFont="1" applyFill="1" applyBorder="1" applyAlignment="1">
      <alignment horizontal="center" vertical="center" wrapText="1"/>
    </xf>
    <xf numFmtId="188" fontId="59" fillId="2" borderId="3" xfId="86" applyNumberFormat="1" applyFont="1" applyFill="1" applyBorder="1" applyAlignment="1">
      <alignment horizontal="right" vertical="center" wrapText="1"/>
    </xf>
    <xf numFmtId="188" fontId="60" fillId="2" borderId="3" xfId="86" applyNumberFormat="1" applyFont="1" applyFill="1" applyBorder="1" applyAlignment="1">
      <alignment vertical="center" wrapText="1"/>
    </xf>
    <xf numFmtId="188" fontId="132" fillId="2" borderId="3" xfId="36" applyNumberFormat="1" applyFont="1" applyFill="1" applyBorder="1" applyAlignment="1">
      <alignment vertical="center" wrapText="1"/>
    </xf>
    <xf numFmtId="0" fontId="38" fillId="2" borderId="3" xfId="144" applyNumberFormat="1" applyFont="1" applyFill="1" applyBorder="1" applyAlignment="1">
      <alignment vertical="center" wrapText="1"/>
    </xf>
    <xf numFmtId="0" fontId="38" fillId="2" borderId="3" xfId="144" applyNumberFormat="1" applyFont="1" applyFill="1" applyBorder="1" applyAlignment="1">
      <alignment horizontal="center" vertical="center" wrapText="1"/>
    </xf>
    <xf numFmtId="0" fontId="38" fillId="2" borderId="3" xfId="144" applyNumberFormat="1" applyFont="1" applyFill="1" applyBorder="1" applyAlignment="1">
      <alignment horizontal="right" vertical="center" wrapText="1"/>
    </xf>
    <xf numFmtId="1" fontId="59" fillId="2" borderId="3" xfId="86" quotePrefix="1" applyNumberFormat="1" applyFont="1" applyFill="1" applyBorder="1" applyAlignment="1">
      <alignment vertical="center" wrapText="1"/>
    </xf>
    <xf numFmtId="0" fontId="122" fillId="2" borderId="3" xfId="86" applyFont="1" applyFill="1" applyBorder="1" applyAlignment="1">
      <alignment horizontal="center" vertical="center" wrapText="1"/>
    </xf>
    <xf numFmtId="0" fontId="122" fillId="2" borderId="3" xfId="0" applyFont="1" applyFill="1" applyBorder="1" applyAlignment="1">
      <alignment vertical="center" wrapText="1"/>
    </xf>
    <xf numFmtId="170" fontId="122" fillId="2" borderId="3" xfId="1" applyNumberFormat="1" applyFont="1" applyFill="1" applyBorder="1" applyAlignment="1">
      <alignment horizontal="right" vertical="center" wrapText="1"/>
    </xf>
    <xf numFmtId="0" fontId="59" fillId="2" borderId="3" xfId="86" applyFont="1" applyFill="1" applyBorder="1" applyAlignment="1">
      <alignment horizontal="center" vertical="center" wrapText="1"/>
    </xf>
    <xf numFmtId="190" fontId="122" fillId="2" borderId="3" xfId="86" applyNumberFormat="1" applyFont="1" applyFill="1" applyBorder="1" applyAlignment="1">
      <alignment horizontal="center" vertical="center" wrapText="1"/>
    </xf>
    <xf numFmtId="190" fontId="122" fillId="2" borderId="3" xfId="1" applyNumberFormat="1" applyFont="1" applyFill="1" applyBorder="1" applyAlignment="1">
      <alignment horizontal="right" vertical="center" wrapText="1"/>
    </xf>
    <xf numFmtId="0" fontId="123" fillId="2" borderId="3" xfId="86" applyFont="1" applyFill="1" applyBorder="1" applyAlignment="1">
      <alignment horizontal="center" vertical="center" wrapText="1"/>
    </xf>
    <xf numFmtId="0" fontId="59" fillId="2" borderId="3" xfId="89" applyFont="1" applyFill="1" applyBorder="1" applyAlignment="1">
      <alignment horizontal="center" vertical="center" wrapText="1"/>
    </xf>
    <xf numFmtId="49" fontId="59" fillId="2" borderId="3" xfId="86" applyNumberFormat="1" applyFont="1" applyFill="1" applyBorder="1" applyAlignment="1">
      <alignment horizontal="center" vertical="center" wrapText="1"/>
    </xf>
    <xf numFmtId="170" fontId="59" fillId="2" borderId="3" xfId="1" applyNumberFormat="1" applyFont="1" applyFill="1" applyBorder="1" applyAlignment="1">
      <alignment horizontal="right" vertical="center" wrapText="1"/>
    </xf>
    <xf numFmtId="170" fontId="59" fillId="2" borderId="3" xfId="1" applyNumberFormat="1" applyFont="1" applyFill="1" applyBorder="1" applyAlignment="1">
      <alignment horizontal="center" vertical="center" wrapText="1"/>
    </xf>
    <xf numFmtId="170" fontId="59" fillId="2" borderId="3" xfId="1" applyNumberFormat="1" applyFont="1" applyFill="1" applyBorder="1" applyAlignment="1">
      <alignment vertical="center" wrapText="1"/>
    </xf>
    <xf numFmtId="3" fontId="59" fillId="2" borderId="17" xfId="0" applyNumberFormat="1" applyFont="1" applyFill="1" applyBorder="1" applyAlignment="1">
      <alignment vertical="center" wrapText="1"/>
    </xf>
    <xf numFmtId="3" fontId="59" fillId="2" borderId="0" xfId="0" applyNumberFormat="1" applyFont="1" applyFill="1" applyBorder="1" applyAlignment="1">
      <alignment vertical="center" wrapText="1"/>
    </xf>
    <xf numFmtId="3" fontId="59" fillId="2" borderId="0" xfId="86" applyNumberFormat="1" applyFont="1" applyFill="1" applyBorder="1" applyAlignment="1">
      <alignment horizontal="right" vertical="center" wrapText="1"/>
    </xf>
    <xf numFmtId="1" fontId="123" fillId="2" borderId="0" xfId="86" applyNumberFormat="1" applyFont="1" applyFill="1" applyBorder="1" applyAlignment="1">
      <alignment vertical="center" wrapText="1"/>
    </xf>
    <xf numFmtId="0" fontId="59" fillId="2" borderId="3" xfId="89" applyFont="1" applyFill="1" applyBorder="1" applyAlignment="1">
      <alignment horizontal="left" vertical="center" wrapText="1"/>
    </xf>
    <xf numFmtId="170" fontId="123" fillId="2" borderId="3" xfId="1" applyNumberFormat="1" applyFont="1" applyFill="1" applyBorder="1" applyAlignment="1">
      <alignment horizontal="right" vertical="center" wrapText="1"/>
    </xf>
    <xf numFmtId="3" fontId="59" fillId="2" borderId="17" xfId="86" applyNumberFormat="1" applyFont="1" applyFill="1" applyBorder="1" applyAlignment="1">
      <alignment horizontal="right" vertical="center" wrapText="1"/>
    </xf>
    <xf numFmtId="188" fontId="59" fillId="2" borderId="0" xfId="86" applyNumberFormat="1" applyFont="1" applyFill="1" applyBorder="1" applyAlignment="1">
      <alignment horizontal="right" vertical="center" wrapText="1"/>
    </xf>
    <xf numFmtId="3" fontId="123" fillId="2" borderId="0" xfId="86" applyNumberFormat="1" applyFont="1" applyFill="1" applyBorder="1" applyAlignment="1">
      <alignment horizontal="right" vertical="center" wrapText="1"/>
    </xf>
    <xf numFmtId="1" fontId="123" fillId="2" borderId="0" xfId="86" applyNumberFormat="1" applyFont="1" applyFill="1" applyBorder="1" applyAlignment="1">
      <alignment horizontal="right" vertical="center" wrapText="1"/>
    </xf>
    <xf numFmtId="188" fontId="59" fillId="2" borderId="3" xfId="0" applyNumberFormat="1" applyFont="1" applyFill="1" applyBorder="1" applyAlignment="1">
      <alignment horizontal="center" vertical="center" wrapText="1"/>
    </xf>
    <xf numFmtId="0" fontId="59" fillId="2" borderId="3" xfId="45" applyFont="1" applyFill="1" applyBorder="1" applyAlignment="1">
      <alignment horizontal="justify" vertical="center" wrapText="1"/>
    </xf>
    <xf numFmtId="49" fontId="59" fillId="2" borderId="6" xfId="0" applyNumberFormat="1" applyFont="1" applyFill="1" applyBorder="1" applyAlignment="1">
      <alignment horizontal="center" vertical="center" wrapText="1"/>
    </xf>
    <xf numFmtId="3" fontId="123" fillId="2" borderId="17" xfId="86" applyNumberFormat="1" applyFont="1" applyFill="1" applyBorder="1" applyAlignment="1">
      <alignment horizontal="right" vertical="center" wrapText="1"/>
    </xf>
    <xf numFmtId="1" fontId="59" fillId="2" borderId="0" xfId="86" applyNumberFormat="1" applyFont="1" applyFill="1" applyBorder="1" applyAlignment="1">
      <alignment horizontal="right" vertical="center" wrapText="1"/>
    </xf>
    <xf numFmtId="1" fontId="59" fillId="2" borderId="0" xfId="86" applyNumberFormat="1" applyFont="1" applyFill="1" applyBorder="1" applyAlignment="1">
      <alignment vertical="center" wrapText="1"/>
    </xf>
    <xf numFmtId="49" fontId="122" fillId="2" borderId="3" xfId="86" applyNumberFormat="1" applyFont="1" applyFill="1" applyBorder="1" applyAlignment="1">
      <alignment horizontal="center" vertical="center" wrapText="1"/>
    </xf>
    <xf numFmtId="1" fontId="122" fillId="2" borderId="3" xfId="86" applyNumberFormat="1" applyFont="1" applyFill="1" applyBorder="1" applyAlignment="1">
      <alignment vertical="center" wrapText="1"/>
    </xf>
    <xf numFmtId="49" fontId="123" fillId="2" borderId="3" xfId="86" applyNumberFormat="1" applyFont="1" applyFill="1" applyBorder="1" applyAlignment="1">
      <alignment horizontal="center" vertical="center" wrapText="1"/>
    </xf>
    <xf numFmtId="1" fontId="123" fillId="2" borderId="3" xfId="86" applyNumberFormat="1" applyFont="1" applyFill="1" applyBorder="1" applyAlignment="1">
      <alignment vertical="center" wrapText="1"/>
    </xf>
    <xf numFmtId="170" fontId="60" fillId="2" borderId="3" xfId="1" applyNumberFormat="1" applyFont="1" applyFill="1" applyBorder="1" applyAlignment="1">
      <alignment horizontal="right" vertical="center" wrapText="1"/>
    </xf>
    <xf numFmtId="0" fontId="60" fillId="2" borderId="3" xfId="45" applyFont="1" applyFill="1" applyBorder="1" applyAlignment="1">
      <alignment horizontal="justify" vertical="center" wrapText="1"/>
    </xf>
    <xf numFmtId="3" fontId="60" fillId="2" borderId="3" xfId="0" applyNumberFormat="1" applyFont="1" applyFill="1" applyBorder="1" applyAlignment="1">
      <alignment horizontal="right" vertical="center" wrapText="1"/>
    </xf>
    <xf numFmtId="170" fontId="60" fillId="2" borderId="3" xfId="24" applyNumberFormat="1" applyFont="1" applyFill="1" applyBorder="1" applyAlignment="1">
      <alignment horizontal="right" vertical="center" wrapText="1"/>
    </xf>
    <xf numFmtId="188" fontId="60" fillId="2" borderId="3" xfId="0" applyNumberFormat="1" applyFont="1" applyFill="1" applyBorder="1" applyAlignment="1">
      <alignment horizontal="right" vertical="center" wrapText="1"/>
    </xf>
    <xf numFmtId="1" fontId="60" fillId="2" borderId="5" xfId="86" applyNumberFormat="1" applyFont="1" applyFill="1" applyBorder="1" applyAlignment="1">
      <alignment horizontal="center" vertical="center" wrapText="1"/>
    </xf>
    <xf numFmtId="0" fontId="60" fillId="2" borderId="3" xfId="57" applyFont="1" applyFill="1" applyBorder="1" applyAlignment="1">
      <alignment horizontal="justify" vertical="center" wrapText="1"/>
    </xf>
    <xf numFmtId="0" fontId="60" fillId="2" borderId="3" xfId="45" applyFont="1" applyFill="1" applyBorder="1" applyAlignment="1">
      <alignment horizontal="center" vertical="center" wrapText="1"/>
    </xf>
    <xf numFmtId="0" fontId="60" fillId="2" borderId="3" xfId="0" quotePrefix="1" applyFont="1" applyFill="1" applyBorder="1" applyAlignment="1">
      <alignment horizontal="center" vertical="center" wrapText="1"/>
    </xf>
    <xf numFmtId="1" fontId="122" fillId="2" borderId="5" xfId="86" applyNumberFormat="1" applyFont="1" applyFill="1" applyBorder="1" applyAlignment="1">
      <alignment horizontal="center" vertical="center" wrapText="1"/>
    </xf>
    <xf numFmtId="0" fontId="122" fillId="2" borderId="3" xfId="89" applyFont="1" applyFill="1" applyBorder="1" applyAlignment="1">
      <alignment horizontal="left" vertical="center" wrapText="1"/>
    </xf>
    <xf numFmtId="0" fontId="122" fillId="2" borderId="3" xfId="89" applyFont="1" applyFill="1" applyBorder="1" applyAlignment="1">
      <alignment horizontal="center" vertical="center" wrapText="1"/>
    </xf>
    <xf numFmtId="170" fontId="122" fillId="2" borderId="3" xfId="24" applyNumberFormat="1" applyFont="1" applyFill="1" applyBorder="1" applyAlignment="1">
      <alignment horizontal="right" vertical="center" wrapText="1"/>
    </xf>
    <xf numFmtId="3" fontId="122" fillId="2" borderId="0" xfId="86" applyNumberFormat="1" applyFont="1" applyFill="1" applyAlignment="1">
      <alignment vertical="center" wrapText="1"/>
    </xf>
    <xf numFmtId="2" fontId="60" fillId="2" borderId="3" xfId="0" applyNumberFormat="1" applyFont="1" applyFill="1" applyBorder="1" applyAlignment="1">
      <alignment horizontal="center" vertical="center" wrapText="1"/>
    </xf>
    <xf numFmtId="170" fontId="123" fillId="2" borderId="3" xfId="24" applyNumberFormat="1" applyFont="1" applyFill="1" applyBorder="1" applyAlignment="1">
      <alignment horizontal="right" vertical="center" wrapText="1"/>
    </xf>
    <xf numFmtId="0" fontId="60" fillId="2" borderId="3" xfId="0" applyFont="1" applyFill="1" applyBorder="1" applyAlignment="1">
      <alignment horizontal="center" vertical="center" wrapText="1"/>
    </xf>
    <xf numFmtId="0" fontId="122" fillId="2" borderId="3" xfId="0" applyFont="1" applyFill="1" applyBorder="1" applyAlignment="1">
      <alignment horizontal="center" vertical="center" wrapText="1"/>
    </xf>
    <xf numFmtId="0" fontId="122" fillId="2" borderId="3" xfId="0" applyFont="1" applyFill="1" applyBorder="1" applyAlignment="1">
      <alignment horizontal="left" vertical="center" wrapText="1"/>
    </xf>
    <xf numFmtId="188" fontId="60" fillId="2" borderId="3" xfId="123" applyNumberFormat="1" applyFont="1" applyFill="1" applyBorder="1" applyAlignment="1">
      <alignment horizontal="left" vertical="center" wrapText="1"/>
    </xf>
    <xf numFmtId="3" fontId="60" fillId="2" borderId="3" xfId="87" quotePrefix="1" applyNumberFormat="1" applyFont="1" applyFill="1" applyBorder="1" applyAlignment="1">
      <alignment horizontal="right" vertical="center" wrapText="1"/>
    </xf>
    <xf numFmtId="3" fontId="60" fillId="2" borderId="3" xfId="87" quotePrefix="1" applyNumberFormat="1" applyFont="1" applyFill="1" applyBorder="1" applyAlignment="1">
      <alignment horizontal="center" vertical="center" wrapText="1"/>
    </xf>
    <xf numFmtId="3" fontId="122" fillId="2" borderId="0" xfId="86" applyNumberFormat="1" applyFont="1" applyFill="1" applyBorder="1" applyAlignment="1">
      <alignment horizontal="right" vertical="center" wrapText="1"/>
    </xf>
    <xf numFmtId="49" fontId="122" fillId="2" borderId="5" xfId="86" applyNumberFormat="1" applyFont="1" applyFill="1" applyBorder="1" applyAlignment="1">
      <alignment horizontal="center" vertical="center" wrapText="1"/>
    </xf>
    <xf numFmtId="1" fontId="122" fillId="2" borderId="5" xfId="86" applyNumberFormat="1" applyFont="1" applyFill="1" applyBorder="1" applyAlignment="1">
      <alignment vertical="center" wrapText="1"/>
    </xf>
    <xf numFmtId="3" fontId="122" fillId="2" borderId="5" xfId="0" applyNumberFormat="1" applyFont="1" applyFill="1" applyBorder="1" applyAlignment="1">
      <alignment vertical="center" wrapText="1"/>
    </xf>
    <xf numFmtId="188" fontId="60" fillId="2" borderId="3" xfId="36" applyNumberFormat="1" applyFont="1" applyFill="1" applyBorder="1" applyAlignment="1">
      <alignment horizontal="right" vertical="center" wrapText="1"/>
    </xf>
    <xf numFmtId="188" fontId="122" fillId="2" borderId="3" xfId="0" applyNumberFormat="1" applyFont="1" applyFill="1" applyBorder="1" applyAlignment="1">
      <alignment horizontal="center" vertical="center" wrapText="1"/>
    </xf>
    <xf numFmtId="1" fontId="60" fillId="2" borderId="3" xfId="86" applyNumberFormat="1" applyFont="1" applyFill="1" applyBorder="1" applyAlignment="1">
      <alignment vertical="center" wrapText="1"/>
    </xf>
    <xf numFmtId="188" fontId="60" fillId="2" borderId="3" xfId="0" applyNumberFormat="1" applyFont="1" applyFill="1" applyBorder="1" applyAlignment="1">
      <alignment horizontal="right" vertical="center"/>
    </xf>
    <xf numFmtId="170" fontId="60" fillId="2" borderId="3" xfId="1" applyNumberFormat="1" applyFont="1" applyFill="1" applyBorder="1" applyAlignment="1">
      <alignment vertical="center" wrapText="1"/>
    </xf>
    <xf numFmtId="3" fontId="60" fillId="2" borderId="3" xfId="87" applyNumberFormat="1" applyFont="1" applyFill="1" applyBorder="1" applyAlignment="1">
      <alignment horizontal="center" vertical="center" wrapText="1"/>
    </xf>
    <xf numFmtId="3" fontId="60" fillId="2" borderId="3" xfId="86" quotePrefix="1" applyNumberFormat="1" applyFont="1" applyFill="1" applyBorder="1" applyAlignment="1">
      <alignment horizontal="center" vertical="center" wrapText="1"/>
    </xf>
    <xf numFmtId="170" fontId="60" fillId="2" borderId="3" xfId="24" applyNumberFormat="1" applyFont="1" applyFill="1" applyBorder="1" applyAlignment="1">
      <alignment horizontal="center" vertical="center" wrapText="1"/>
    </xf>
    <xf numFmtId="3" fontId="60" fillId="2" borderId="3" xfId="123" applyNumberFormat="1" applyFont="1" applyFill="1" applyBorder="1" applyAlignment="1">
      <alignment vertical="center"/>
    </xf>
    <xf numFmtId="3" fontId="122" fillId="2" borderId="17" xfId="86" applyNumberFormat="1" applyFont="1" applyFill="1" applyBorder="1" applyAlignment="1">
      <alignment horizontal="right" vertical="center" wrapText="1"/>
    </xf>
    <xf numFmtId="170" fontId="60" fillId="2" borderId="3" xfId="7" applyNumberFormat="1" applyFont="1" applyFill="1" applyBorder="1" applyAlignment="1">
      <alignment horizontal="right" vertical="center" wrapText="1"/>
    </xf>
    <xf numFmtId="1" fontId="60" fillId="2" borderId="3" xfId="86" applyNumberFormat="1" applyFont="1" applyFill="1" applyBorder="1" applyAlignment="1">
      <alignment horizontal="left" vertical="center" wrapText="1"/>
    </xf>
    <xf numFmtId="188" fontId="60" fillId="2" borderId="3" xfId="0" applyNumberFormat="1" applyFont="1" applyFill="1" applyBorder="1" applyAlignment="1">
      <alignment horizontal="justify" vertical="center" wrapText="1"/>
    </xf>
    <xf numFmtId="0" fontId="60" fillId="2" borderId="3" xfId="0" applyFont="1" applyFill="1" applyBorder="1" applyAlignment="1">
      <alignment vertical="center" wrapText="1"/>
    </xf>
    <xf numFmtId="2" fontId="60" fillId="2" borderId="3" xfId="0" applyNumberFormat="1" applyFont="1" applyFill="1" applyBorder="1" applyAlignment="1">
      <alignment horizontal="left" vertical="center" wrapText="1"/>
    </xf>
    <xf numFmtId="0" fontId="60" fillId="2" borderId="7" xfId="0" applyFont="1" applyFill="1" applyBorder="1" applyAlignment="1">
      <alignment vertical="center" wrapText="1"/>
    </xf>
    <xf numFmtId="0" fontId="60" fillId="2" borderId="3" xfId="4" applyFont="1" applyFill="1" applyBorder="1" applyAlignment="1">
      <alignment horizontal="left" vertical="center" wrapText="1"/>
    </xf>
    <xf numFmtId="0" fontId="60" fillId="2" borderId="7" xfId="0" applyFont="1" applyFill="1" applyBorder="1" applyAlignment="1">
      <alignment horizontal="center" vertical="center" wrapText="1"/>
    </xf>
    <xf numFmtId="170" fontId="124" fillId="2" borderId="3" xfId="121" applyNumberFormat="1" applyFont="1" applyFill="1" applyBorder="1" applyAlignment="1" applyProtection="1">
      <alignment horizontal="left" vertical="center" wrapText="1"/>
    </xf>
    <xf numFmtId="3" fontId="122" fillId="2" borderId="2" xfId="86" applyNumberFormat="1" applyFont="1" applyFill="1" applyBorder="1" applyAlignment="1">
      <alignment horizontal="center" vertical="center" wrapText="1"/>
    </xf>
    <xf numFmtId="3" fontId="122" fillId="2" borderId="5" xfId="86" applyNumberFormat="1" applyFont="1" applyFill="1" applyBorder="1" applyAlignment="1">
      <alignment horizontal="center" vertical="center" wrapText="1"/>
    </xf>
    <xf numFmtId="1" fontId="122" fillId="2" borderId="0" xfId="86" applyNumberFormat="1" applyFont="1" applyFill="1" applyAlignment="1">
      <alignment horizontal="center" vertical="center" wrapText="1"/>
    </xf>
    <xf numFmtId="1" fontId="60" fillId="2" borderId="0" xfId="86" applyNumberFormat="1" applyFont="1" applyFill="1" applyAlignment="1">
      <alignment horizontal="center" vertical="center" wrapText="1"/>
    </xf>
    <xf numFmtId="1" fontId="60" fillId="2" borderId="0" xfId="86" applyNumberFormat="1" applyFont="1" applyFill="1" applyAlignment="1">
      <alignment horizontal="right" vertical="center" wrapText="1"/>
    </xf>
    <xf numFmtId="1" fontId="13" fillId="2" borderId="0" xfId="86" applyNumberFormat="1" applyFont="1" applyFill="1" applyAlignment="1">
      <alignment vertical="center" wrapText="1"/>
    </xf>
    <xf numFmtId="1" fontId="15" fillId="2" borderId="0" xfId="86" applyNumberFormat="1" applyFont="1" applyFill="1" applyAlignment="1">
      <alignment vertical="center" wrapText="1"/>
    </xf>
    <xf numFmtId="3" fontId="15" fillId="2" borderId="0" xfId="86" applyNumberFormat="1" applyFont="1" applyFill="1" applyAlignment="1">
      <alignment horizontal="center" vertical="center" wrapText="1"/>
    </xf>
    <xf numFmtId="3" fontId="13" fillId="2" borderId="3" xfId="86" applyNumberFormat="1" applyFont="1" applyFill="1" applyBorder="1" applyAlignment="1">
      <alignment horizontal="center" vertical="center" wrapText="1"/>
    </xf>
    <xf numFmtId="3" fontId="20" fillId="2" borderId="3" xfId="86" applyNumberFormat="1" applyFont="1" applyFill="1" applyBorder="1" applyAlignment="1">
      <alignment horizontal="center" vertical="center" wrapText="1"/>
    </xf>
    <xf numFmtId="3" fontId="14" fillId="2" borderId="3" xfId="86" applyNumberFormat="1" applyFont="1" applyFill="1" applyBorder="1" applyAlignment="1">
      <alignment horizontal="right" vertical="center" wrapText="1"/>
    </xf>
    <xf numFmtId="3" fontId="20" fillId="2" borderId="0" xfId="86" applyNumberFormat="1" applyFont="1" applyFill="1" applyAlignment="1">
      <alignment vertical="center" wrapText="1"/>
    </xf>
    <xf numFmtId="0" fontId="12" fillId="2" borderId="3" xfId="86" applyFont="1" applyFill="1" applyBorder="1" applyAlignment="1">
      <alignment horizontal="center" vertical="center" wrapText="1"/>
    </xf>
    <xf numFmtId="188" fontId="12" fillId="2" borderId="3" xfId="36" applyNumberFormat="1" applyFont="1" applyFill="1" applyBorder="1" applyAlignment="1">
      <alignment vertical="center" wrapText="1"/>
    </xf>
    <xf numFmtId="188" fontId="12" fillId="2" borderId="3" xfId="36" applyNumberFormat="1" applyFont="1" applyFill="1" applyBorder="1" applyAlignment="1">
      <alignment horizontal="center" vertical="center" wrapText="1"/>
    </xf>
    <xf numFmtId="3" fontId="12" fillId="2" borderId="3" xfId="86" applyNumberFormat="1" applyFont="1" applyFill="1" applyBorder="1" applyAlignment="1">
      <alignment horizontal="right" vertical="center" wrapText="1"/>
    </xf>
    <xf numFmtId="3" fontId="15" fillId="2" borderId="0" xfId="86" applyNumberFormat="1" applyFont="1" applyFill="1" applyAlignment="1">
      <alignment vertical="center" wrapText="1"/>
    </xf>
    <xf numFmtId="0" fontId="12" fillId="2" borderId="3" xfId="64" applyFont="1" applyFill="1" applyBorder="1" applyAlignment="1">
      <alignment horizontal="center" vertical="center" wrapText="1"/>
    </xf>
    <xf numFmtId="0" fontId="13" fillId="2" borderId="3" xfId="64" applyFont="1" applyFill="1" applyBorder="1" applyAlignment="1">
      <alignment horizontal="justify" vertical="center" wrapText="1"/>
    </xf>
    <xf numFmtId="3" fontId="13" fillId="2" borderId="3" xfId="86" applyNumberFormat="1" applyFont="1" applyFill="1" applyBorder="1" applyAlignment="1">
      <alignment horizontal="right" vertical="center" wrapText="1"/>
    </xf>
    <xf numFmtId="0" fontId="13" fillId="2" borderId="3" xfId="86" applyFont="1" applyFill="1" applyBorder="1" applyAlignment="1">
      <alignment horizontal="center" vertical="center" wrapText="1"/>
    </xf>
    <xf numFmtId="188" fontId="13" fillId="2" borderId="3" xfId="36" applyNumberFormat="1" applyFont="1" applyFill="1" applyBorder="1" applyAlignment="1">
      <alignment vertical="center" wrapText="1"/>
    </xf>
    <xf numFmtId="3" fontId="12" fillId="2" borderId="0" xfId="86" applyNumberFormat="1" applyFont="1" applyFill="1" applyAlignment="1">
      <alignment vertical="center" wrapText="1"/>
    </xf>
    <xf numFmtId="2" fontId="34" fillId="2" borderId="0" xfId="0" applyNumberFormat="1" applyFont="1" applyFill="1" applyAlignment="1">
      <alignment vertical="center" wrapText="1"/>
    </xf>
    <xf numFmtId="3" fontId="34" fillId="2" borderId="3" xfId="86" quotePrefix="1" applyNumberFormat="1" applyFont="1" applyFill="1" applyBorder="1" applyAlignment="1">
      <alignment horizontal="right" vertical="center" wrapText="1"/>
    </xf>
    <xf numFmtId="1" fontId="13" fillId="2" borderId="3" xfId="86" applyNumberFormat="1" applyFont="1" applyFill="1" applyBorder="1" applyAlignment="1">
      <alignment horizontal="center" vertical="center" wrapText="1"/>
    </xf>
    <xf numFmtId="188" fontId="34" fillId="2" borderId="3" xfId="36" applyNumberFormat="1" applyFont="1" applyFill="1" applyBorder="1" applyAlignment="1">
      <alignment vertical="center" wrapText="1"/>
    </xf>
    <xf numFmtId="3" fontId="39" fillId="2" borderId="3" xfId="86" quotePrefix="1" applyNumberFormat="1" applyFont="1" applyFill="1" applyBorder="1" applyAlignment="1">
      <alignment horizontal="right" vertical="center" wrapText="1"/>
    </xf>
    <xf numFmtId="3" fontId="22" fillId="2" borderId="3" xfId="86" applyNumberFormat="1" applyFont="1" applyFill="1" applyBorder="1" applyAlignment="1">
      <alignment horizontal="right" vertical="center" wrapText="1"/>
    </xf>
    <xf numFmtId="188" fontId="38" fillId="2" borderId="3" xfId="86" applyNumberFormat="1" applyFont="1" applyFill="1" applyBorder="1" applyAlignment="1">
      <alignment horizontal="right" vertical="center" wrapText="1"/>
    </xf>
    <xf numFmtId="49" fontId="12" fillId="2" borderId="3" xfId="86" applyNumberFormat="1" applyFont="1" applyFill="1" applyBorder="1" applyAlignment="1">
      <alignment horizontal="center" vertical="center" wrapText="1"/>
    </xf>
    <xf numFmtId="1" fontId="12" fillId="2" borderId="3" xfId="86" applyNumberFormat="1" applyFont="1" applyFill="1" applyBorder="1" applyAlignment="1">
      <alignment vertical="center" wrapText="1"/>
    </xf>
    <xf numFmtId="1" fontId="12" fillId="2" borderId="0" xfId="86" applyNumberFormat="1" applyFont="1" applyFill="1" applyAlignment="1">
      <alignment vertical="center" wrapText="1"/>
    </xf>
    <xf numFmtId="49" fontId="22" fillId="2" borderId="3" xfId="86" applyNumberFormat="1" applyFont="1" applyFill="1" applyBorder="1" applyAlignment="1">
      <alignment horizontal="center" vertical="center" wrapText="1"/>
    </xf>
    <xf numFmtId="1" fontId="22" fillId="2" borderId="3" xfId="86" applyNumberFormat="1" applyFont="1" applyFill="1" applyBorder="1" applyAlignment="1">
      <alignment vertical="center" wrapText="1"/>
    </xf>
    <xf numFmtId="1" fontId="22" fillId="2" borderId="0" xfId="86" applyNumberFormat="1" applyFont="1" applyFill="1" applyAlignment="1">
      <alignment vertical="center" wrapText="1"/>
    </xf>
    <xf numFmtId="49" fontId="15" fillId="2" borderId="3" xfId="86" applyNumberFormat="1" applyFont="1" applyFill="1" applyBorder="1" applyAlignment="1">
      <alignment horizontal="center" vertical="center" wrapText="1"/>
    </xf>
    <xf numFmtId="188" fontId="15" fillId="2" borderId="3" xfId="36" applyNumberFormat="1" applyFont="1" applyFill="1" applyBorder="1" applyAlignment="1">
      <alignment vertical="center" wrapText="1"/>
    </xf>
    <xf numFmtId="188" fontId="15" fillId="2" borderId="3" xfId="36" applyNumberFormat="1" applyFont="1" applyFill="1" applyBorder="1" applyAlignment="1">
      <alignment horizontal="center" vertical="center" wrapText="1"/>
    </xf>
    <xf numFmtId="0" fontId="15" fillId="2" borderId="3" xfId="64" applyFont="1" applyFill="1" applyBorder="1" applyAlignment="1">
      <alignment horizontal="justify" vertical="center" wrapText="1"/>
    </xf>
    <xf numFmtId="0" fontId="15" fillId="2" borderId="3" xfId="64" applyFont="1" applyFill="1" applyBorder="1" applyAlignment="1">
      <alignment horizontal="center" vertical="center" wrapText="1"/>
    </xf>
    <xf numFmtId="0" fontId="15" fillId="2" borderId="3" xfId="89" applyFont="1" applyFill="1" applyBorder="1" applyAlignment="1">
      <alignment horizontal="center" vertical="center" wrapText="1"/>
    </xf>
    <xf numFmtId="0" fontId="15" fillId="2" borderId="3" xfId="4" applyFont="1" applyFill="1" applyBorder="1" applyAlignment="1">
      <alignment horizontal="left" vertical="center" wrapText="1"/>
    </xf>
    <xf numFmtId="0" fontId="15" fillId="2" borderId="3" xfId="45" applyFont="1" applyFill="1" applyBorder="1" applyAlignment="1">
      <alignment horizontal="justify" vertical="center" wrapText="1"/>
    </xf>
    <xf numFmtId="0" fontId="15" fillId="2" borderId="3" xfId="45" applyFont="1" applyFill="1" applyBorder="1" applyAlignment="1">
      <alignment horizontal="center" vertical="center" wrapText="1"/>
    </xf>
    <xf numFmtId="170" fontId="15" fillId="2" borderId="3" xfId="24" applyNumberFormat="1" applyFont="1" applyFill="1" applyBorder="1" applyAlignment="1">
      <alignment horizontal="right" vertical="center" wrapText="1"/>
    </xf>
    <xf numFmtId="3" fontId="12" fillId="2" borderId="3" xfId="86" quotePrefix="1" applyNumberFormat="1" applyFont="1" applyFill="1" applyBorder="1" applyAlignment="1">
      <alignment horizontal="center" vertical="center" wrapText="1"/>
    </xf>
    <xf numFmtId="0" fontId="15" fillId="2" borderId="3" xfId="89" applyFont="1" applyFill="1" applyBorder="1" applyAlignment="1">
      <alignment horizontal="left" vertical="center" wrapText="1"/>
    </xf>
    <xf numFmtId="49" fontId="15" fillId="2" borderId="6" xfId="0" applyNumberFormat="1" applyFont="1" applyFill="1" applyBorder="1" applyAlignment="1">
      <alignment horizontal="center" vertical="center" wrapText="1"/>
    </xf>
    <xf numFmtId="3" fontId="22" fillId="2" borderId="0" xfId="86" applyNumberFormat="1" applyFont="1" applyFill="1" applyAlignment="1">
      <alignment vertical="center" wrapText="1"/>
    </xf>
    <xf numFmtId="0" fontId="15" fillId="2" borderId="3" xfId="86" applyFont="1" applyFill="1" applyBorder="1" applyAlignment="1">
      <alignment horizontal="center" vertical="center" wrapText="1"/>
    </xf>
    <xf numFmtId="1" fontId="15" fillId="2" borderId="3" xfId="86" applyNumberFormat="1" applyFont="1" applyFill="1" applyBorder="1" applyAlignment="1">
      <alignment vertical="center" wrapText="1"/>
    </xf>
    <xf numFmtId="0" fontId="66" fillId="2" borderId="3" xfId="58" applyFont="1" applyFill="1" applyBorder="1" applyAlignment="1">
      <alignment horizontal="left" vertical="center" wrapText="1"/>
    </xf>
    <xf numFmtId="3" fontId="66" fillId="2" borderId="3" xfId="123" applyNumberFormat="1" applyFont="1" applyFill="1" applyBorder="1" applyAlignment="1">
      <alignment vertical="center" wrapText="1"/>
    </xf>
    <xf numFmtId="0" fontId="15" fillId="2" borderId="3" xfId="58" applyFont="1" applyFill="1" applyBorder="1" applyAlignment="1">
      <alignment horizontal="left" vertical="center" wrapText="1"/>
    </xf>
    <xf numFmtId="3" fontId="15" fillId="2" borderId="3" xfId="88" applyNumberFormat="1" applyFont="1" applyFill="1" applyBorder="1" applyAlignment="1">
      <alignment horizontal="right" vertical="center" wrapText="1"/>
    </xf>
    <xf numFmtId="0" fontId="66" fillId="2" borderId="3" xfId="0" applyFont="1" applyFill="1" applyBorder="1" applyAlignment="1">
      <alignment vertical="center" wrapText="1"/>
    </xf>
    <xf numFmtId="3" fontId="66" fillId="2" borderId="3" xfId="0" applyNumberFormat="1" applyFont="1" applyFill="1" applyBorder="1" applyAlignment="1">
      <alignment horizontal="right" vertical="center"/>
    </xf>
    <xf numFmtId="3" fontId="15" fillId="2" borderId="3" xfId="90" applyNumberFormat="1" applyFont="1" applyFill="1" applyBorder="1" applyAlignment="1">
      <alignment horizontal="right" vertical="center" wrapText="1"/>
    </xf>
    <xf numFmtId="0" fontId="15" fillId="2" borderId="3" xfId="90" applyFont="1" applyFill="1" applyBorder="1" applyAlignment="1">
      <alignment horizontal="center" vertical="center" wrapText="1"/>
    </xf>
    <xf numFmtId="188" fontId="15" fillId="2" borderId="3" xfId="36" applyNumberFormat="1" applyFont="1" applyFill="1" applyBorder="1" applyAlignment="1">
      <alignment horizontal="right" vertical="center" wrapText="1"/>
    </xf>
    <xf numFmtId="170" fontId="12" fillId="2" borderId="3" xfId="24" applyNumberFormat="1" applyFont="1" applyFill="1" applyBorder="1" applyAlignment="1">
      <alignment horizontal="right" vertical="center" wrapText="1"/>
    </xf>
    <xf numFmtId="2" fontId="15" fillId="2" borderId="3" xfId="0" applyNumberFormat="1" applyFont="1" applyFill="1" applyBorder="1" applyAlignment="1">
      <alignment horizontal="left" vertical="center" wrapText="1"/>
    </xf>
    <xf numFmtId="0" fontId="15" fillId="2" borderId="3" xfId="57" applyFont="1" applyFill="1" applyBorder="1" applyAlignment="1">
      <alignment horizontal="justify" vertical="center" wrapText="1"/>
    </xf>
    <xf numFmtId="3" fontId="13" fillId="2" borderId="3" xfId="0" applyNumberFormat="1" applyFont="1" applyFill="1" applyBorder="1" applyAlignment="1">
      <alignment horizontal="center" vertical="center" wrapText="1"/>
    </xf>
    <xf numFmtId="0" fontId="22" fillId="2" borderId="3" xfId="86" applyFont="1" applyFill="1" applyBorder="1" applyAlignment="1">
      <alignment horizontal="center" vertical="center" wrapText="1"/>
    </xf>
    <xf numFmtId="1" fontId="13" fillId="2" borderId="3" xfId="87" applyNumberFormat="1" applyFont="1" applyFill="1" applyBorder="1" applyAlignment="1">
      <alignment horizontal="left" vertical="center" wrapText="1"/>
    </xf>
    <xf numFmtId="188" fontId="13" fillId="2" borderId="3" xfId="36" applyNumberFormat="1" applyFont="1" applyFill="1" applyBorder="1" applyAlignment="1">
      <alignment horizontal="center" vertical="center" wrapText="1"/>
    </xf>
    <xf numFmtId="188" fontId="13" fillId="2" borderId="3" xfId="0" applyNumberFormat="1" applyFont="1" applyFill="1" applyBorder="1" applyAlignment="1">
      <alignment vertical="center" wrapText="1"/>
    </xf>
    <xf numFmtId="3" fontId="13" fillId="2" borderId="3" xfId="0" applyNumberFormat="1" applyFont="1" applyFill="1" applyBorder="1" applyAlignment="1">
      <alignment horizontal="right" vertical="center" wrapText="1"/>
    </xf>
    <xf numFmtId="170" fontId="15" fillId="2" borderId="3" xfId="24" applyNumberFormat="1" applyFont="1" applyFill="1" applyBorder="1" applyAlignment="1">
      <alignment horizontal="center" vertical="center" wrapText="1"/>
    </xf>
    <xf numFmtId="37" fontId="13" fillId="2" borderId="3" xfId="30" applyNumberFormat="1" applyFont="1" applyFill="1" applyBorder="1" applyAlignment="1">
      <alignment horizontal="center" vertical="center" wrapText="1"/>
    </xf>
    <xf numFmtId="3" fontId="13" fillId="2" borderId="3" xfId="86" quotePrefix="1" applyNumberFormat="1" applyFont="1" applyFill="1" applyBorder="1" applyAlignment="1">
      <alignment horizontal="center" vertical="center" wrapText="1"/>
    </xf>
    <xf numFmtId="170" fontId="15" fillId="2" borderId="3" xfId="1" applyNumberFormat="1" applyFont="1" applyFill="1" applyBorder="1" applyAlignment="1">
      <alignment horizontal="right" vertical="center" wrapText="1"/>
    </xf>
    <xf numFmtId="188" fontId="22" fillId="2" borderId="3" xfId="0" applyNumberFormat="1" applyFont="1" applyFill="1" applyBorder="1" applyAlignment="1">
      <alignment horizontal="right" vertical="center" wrapText="1"/>
    </xf>
    <xf numFmtId="1" fontId="13" fillId="2" borderId="3" xfId="0" applyNumberFormat="1" applyFont="1" applyFill="1" applyBorder="1" applyAlignment="1">
      <alignment horizontal="left" vertical="center" wrapText="1"/>
    </xf>
    <xf numFmtId="0" fontId="13" fillId="2" borderId="3" xfId="89" applyFont="1" applyFill="1" applyBorder="1" applyAlignment="1">
      <alignment horizontal="center" vertical="center" wrapText="1"/>
    </xf>
    <xf numFmtId="49" fontId="13" fillId="2" borderId="3" xfId="86" applyNumberFormat="1" applyFont="1" applyFill="1" applyBorder="1" applyAlignment="1">
      <alignment horizontal="center" vertical="center" wrapText="1"/>
    </xf>
    <xf numFmtId="0" fontId="13" fillId="2" borderId="3" xfId="86" quotePrefix="1" applyFont="1" applyFill="1" applyBorder="1" applyAlignment="1">
      <alignment horizontal="center" vertical="center" wrapText="1"/>
    </xf>
    <xf numFmtId="1" fontId="13" fillId="2" borderId="3" xfId="86" applyNumberFormat="1" applyFont="1" applyFill="1" applyBorder="1" applyAlignment="1">
      <alignment vertical="center" wrapText="1"/>
    </xf>
    <xf numFmtId="1" fontId="13" fillId="2" borderId="3" xfId="87" applyNumberFormat="1" applyFont="1" applyFill="1" applyBorder="1" applyAlignment="1">
      <alignment horizontal="center" vertical="center" wrapText="1"/>
    </xf>
    <xf numFmtId="3" fontId="13" fillId="2" borderId="3" xfId="86" applyNumberFormat="1" applyFont="1" applyFill="1" applyBorder="1" applyAlignment="1">
      <alignment horizontal="left" vertical="center" wrapText="1"/>
    </xf>
    <xf numFmtId="188" fontId="13" fillId="2" borderId="3" xfId="0" applyNumberFormat="1" applyFont="1" applyFill="1" applyBorder="1" applyAlignment="1">
      <alignment horizontal="center" vertical="center" wrapText="1"/>
    </xf>
    <xf numFmtId="188" fontId="13" fillId="2" borderId="3" xfId="0" applyNumberFormat="1" applyFont="1" applyFill="1" applyBorder="1" applyAlignment="1">
      <alignment horizontal="left" vertical="center" wrapText="1"/>
    </xf>
    <xf numFmtId="170" fontId="15" fillId="2" borderId="3" xfId="22" applyNumberFormat="1" applyFont="1" applyFill="1" applyBorder="1" applyAlignment="1">
      <alignment horizontal="right" vertical="center" wrapText="1"/>
    </xf>
    <xf numFmtId="0" fontId="13" fillId="2" borderId="3" xfId="0" applyFont="1" applyFill="1" applyBorder="1" applyAlignment="1">
      <alignment horizontal="left" vertical="center" wrapText="1"/>
    </xf>
    <xf numFmtId="3" fontId="13" fillId="2" borderId="3" xfId="87" applyNumberFormat="1" applyFont="1" applyFill="1" applyBorder="1" applyAlignment="1">
      <alignment horizontal="left" vertical="center" wrapText="1"/>
    </xf>
    <xf numFmtId="3" fontId="13" fillId="2" borderId="3" xfId="57" applyNumberFormat="1" applyFont="1" applyFill="1" applyBorder="1" applyAlignment="1">
      <alignment horizontal="left" vertical="center" wrapText="1"/>
    </xf>
    <xf numFmtId="0" fontId="13" fillId="2" borderId="3" xfId="0" applyFont="1" applyFill="1" applyBorder="1" applyAlignment="1">
      <alignment horizontal="justify" vertical="center" wrapText="1"/>
    </xf>
    <xf numFmtId="3" fontId="13" fillId="2" borderId="3" xfId="0" quotePrefix="1" applyNumberFormat="1" applyFont="1" applyFill="1" applyBorder="1" applyAlignment="1">
      <alignment horizontal="left" vertical="center" wrapText="1"/>
    </xf>
    <xf numFmtId="37" fontId="15" fillId="2" borderId="3" xfId="0" applyNumberFormat="1" applyFont="1" applyFill="1" applyBorder="1" applyAlignment="1">
      <alignment vertical="center" wrapText="1"/>
    </xf>
    <xf numFmtId="3" fontId="12" fillId="2" borderId="3" xfId="0" applyNumberFormat="1" applyFont="1" applyFill="1" applyBorder="1" applyAlignment="1">
      <alignment horizontal="right" vertical="center" wrapText="1"/>
    </xf>
    <xf numFmtId="188" fontId="22" fillId="2" borderId="3" xfId="36" applyNumberFormat="1" applyFont="1" applyFill="1" applyBorder="1" applyAlignment="1">
      <alignment horizontal="center" vertical="center" wrapText="1"/>
    </xf>
    <xf numFmtId="188" fontId="12" fillId="2" borderId="3" xfId="0" applyNumberFormat="1" applyFont="1" applyFill="1" applyBorder="1" applyAlignment="1">
      <alignment horizontal="justify" vertical="center" wrapText="1"/>
    </xf>
    <xf numFmtId="170" fontId="12" fillId="2" borderId="3" xfId="1" applyNumberFormat="1" applyFont="1" applyFill="1" applyBorder="1" applyAlignment="1">
      <alignment vertical="center" wrapText="1"/>
    </xf>
    <xf numFmtId="170" fontId="22" fillId="2" borderId="3" xfId="1" applyNumberFormat="1" applyFont="1" applyFill="1" applyBorder="1" applyAlignment="1">
      <alignment vertical="center" wrapText="1"/>
    </xf>
    <xf numFmtId="188" fontId="15" fillId="2" borderId="3" xfId="0" applyNumberFormat="1" applyFont="1" applyFill="1" applyBorder="1" applyAlignment="1">
      <alignment horizontal="justify" vertical="center" wrapText="1"/>
    </xf>
    <xf numFmtId="37" fontId="15" fillId="2" borderId="3" xfId="0" applyNumberFormat="1" applyFont="1" applyFill="1" applyBorder="1" applyAlignment="1">
      <alignment horizontal="right" vertical="center" wrapText="1"/>
    </xf>
    <xf numFmtId="37" fontId="22" fillId="2" borderId="3" xfId="0" applyNumberFormat="1" applyFont="1" applyFill="1" applyBorder="1" applyAlignment="1">
      <alignment horizontal="right" vertical="center" wrapText="1"/>
    </xf>
    <xf numFmtId="170" fontId="12" fillId="2" borderId="3" xfId="1" applyNumberFormat="1" applyFont="1" applyFill="1" applyBorder="1" applyAlignment="1">
      <alignment horizontal="right" vertical="center" wrapText="1"/>
    </xf>
    <xf numFmtId="0" fontId="15" fillId="2" borderId="7" xfId="0" applyFont="1" applyFill="1" applyBorder="1" applyAlignment="1">
      <alignment horizontal="center" vertical="center" wrapText="1"/>
    </xf>
    <xf numFmtId="170" fontId="15" fillId="2" borderId="3" xfId="1" applyNumberFormat="1" applyFont="1" applyFill="1" applyBorder="1" applyAlignment="1">
      <alignment vertical="center" wrapText="1"/>
    </xf>
    <xf numFmtId="188" fontId="66" fillId="2" borderId="3" xfId="36" applyNumberFormat="1" applyFont="1" applyFill="1" applyBorder="1" applyAlignment="1">
      <alignment horizontal="center" vertical="center" wrapText="1"/>
    </xf>
    <xf numFmtId="3" fontId="66" fillId="2" borderId="3" xfId="86" applyNumberFormat="1" applyFont="1" applyFill="1" applyBorder="1" applyAlignment="1">
      <alignment horizontal="right" vertical="center" wrapText="1"/>
    </xf>
    <xf numFmtId="188" fontId="66" fillId="2" borderId="3" xfId="0" applyNumberFormat="1" applyFont="1" applyFill="1" applyBorder="1" applyAlignment="1">
      <alignment horizontal="center" vertical="center" wrapText="1"/>
    </xf>
    <xf numFmtId="1" fontId="15" fillId="2" borderId="0" xfId="86" applyNumberFormat="1" applyFont="1" applyFill="1" applyAlignment="1">
      <alignment horizontal="center" vertical="center" wrapText="1"/>
    </xf>
    <xf numFmtId="1" fontId="15" fillId="2" borderId="0" xfId="86" applyNumberFormat="1" applyFont="1" applyFill="1" applyAlignment="1">
      <alignment horizontal="right" vertical="center" wrapText="1"/>
    </xf>
    <xf numFmtId="1" fontId="12" fillId="2" borderId="0" xfId="86" applyNumberFormat="1" applyFont="1" applyFill="1" applyAlignment="1">
      <alignment horizontal="center" vertical="center" wrapText="1"/>
    </xf>
    <xf numFmtId="3" fontId="4" fillId="2" borderId="3" xfId="86" applyNumberFormat="1" applyFont="1" applyFill="1" applyBorder="1" applyAlignment="1">
      <alignment horizontal="center" vertical="center" wrapText="1"/>
    </xf>
    <xf numFmtId="3" fontId="12" fillId="2" borderId="3" xfId="86" applyNumberFormat="1" applyFont="1" applyFill="1" applyBorder="1" applyAlignment="1">
      <alignment horizontal="center" vertical="center" wrapText="1"/>
    </xf>
    <xf numFmtId="1" fontId="13" fillId="2" borderId="0" xfId="86" applyNumberFormat="1" applyFont="1" applyFill="1" applyAlignment="1">
      <alignment horizontal="center" vertical="center" wrapText="1"/>
    </xf>
    <xf numFmtId="3" fontId="22" fillId="2" borderId="3" xfId="86" applyNumberFormat="1" applyFont="1" applyFill="1" applyBorder="1" applyAlignment="1">
      <alignment horizontal="center" vertical="center" wrapText="1"/>
    </xf>
    <xf numFmtId="3" fontId="12" fillId="2" borderId="3" xfId="87" applyNumberFormat="1" applyFont="1" applyFill="1" applyBorder="1" applyAlignment="1">
      <alignment horizontal="center" vertical="center" wrapText="1"/>
    </xf>
    <xf numFmtId="0" fontId="15" fillId="2" borderId="0" xfId="0" applyFont="1" applyFill="1" applyAlignment="1">
      <alignment horizontal="center"/>
    </xf>
    <xf numFmtId="3" fontId="22" fillId="2" borderId="3" xfId="87"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3" fontId="4" fillId="2" borderId="3" xfId="86" applyNumberFormat="1" applyFont="1" applyFill="1" applyBorder="1" applyAlignment="1">
      <alignment horizontal="center" vertical="center" wrapText="1"/>
    </xf>
    <xf numFmtId="3" fontId="22" fillId="2" borderId="9" xfId="87"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4" fillId="2" borderId="3" xfId="86" applyNumberFormat="1" applyFont="1" applyFill="1" applyBorder="1" applyAlignment="1">
      <alignment horizontal="center" vertical="center" wrapText="1"/>
    </xf>
    <xf numFmtId="1" fontId="135" fillId="2" borderId="3" xfId="86" applyNumberFormat="1" applyFont="1" applyFill="1" applyBorder="1" applyAlignment="1">
      <alignment horizontal="center" vertical="center" wrapText="1"/>
    </xf>
    <xf numFmtId="1" fontId="135" fillId="2" borderId="3" xfId="86" applyNumberFormat="1" applyFont="1" applyFill="1" applyBorder="1" applyAlignment="1">
      <alignment horizontal="left" vertical="center" wrapText="1"/>
    </xf>
    <xf numFmtId="0" fontId="22" fillId="2" borderId="3" xfId="0" applyFont="1" applyFill="1" applyBorder="1" applyAlignment="1">
      <alignment horizontal="center"/>
    </xf>
    <xf numFmtId="0" fontId="4" fillId="2" borderId="3" xfId="86" quotePrefix="1" applyNumberFormat="1" applyFont="1" applyFill="1" applyBorder="1" applyAlignment="1">
      <alignment horizontal="center" vertical="center" wrapText="1"/>
    </xf>
    <xf numFmtId="49" fontId="15" fillId="2" borderId="18" xfId="116" applyNumberFormat="1" applyFont="1" applyFill="1" applyBorder="1" applyAlignment="1">
      <alignment horizontal="center" vertical="center"/>
    </xf>
    <xf numFmtId="3" fontId="22" fillId="2" borderId="3" xfId="0" applyNumberFormat="1" applyFont="1" applyFill="1" applyBorder="1" applyAlignment="1">
      <alignment horizontal="center"/>
    </xf>
    <xf numFmtId="0" fontId="22" fillId="2" borderId="0" xfId="0" applyFont="1" applyFill="1" applyAlignment="1">
      <alignment vertical="center" wrapText="1"/>
    </xf>
    <xf numFmtId="0" fontId="4" fillId="2" borderId="3" xfId="146" applyNumberFormat="1" applyFont="1" applyFill="1" applyBorder="1" applyAlignment="1">
      <alignment horizontal="center" vertical="center" wrapText="1"/>
    </xf>
    <xf numFmtId="0" fontId="4" fillId="2" borderId="3" xfId="146" applyNumberFormat="1" applyFont="1" applyFill="1" applyBorder="1" applyAlignment="1">
      <alignment vertical="center" wrapText="1"/>
    </xf>
    <xf numFmtId="1" fontId="4" fillId="2" borderId="3" xfId="147" applyNumberFormat="1" applyFont="1" applyFill="1" applyBorder="1" applyAlignment="1">
      <alignment horizontal="center" vertical="center" wrapText="1"/>
    </xf>
    <xf numFmtId="2" fontId="138" fillId="2" borderId="3" xfId="87" applyNumberFormat="1" applyFont="1" applyFill="1" applyBorder="1" applyAlignment="1">
      <alignment vertical="center" wrapText="1"/>
    </xf>
    <xf numFmtId="1" fontId="15" fillId="2" borderId="3" xfId="147" applyNumberFormat="1" applyFont="1" applyFill="1" applyBorder="1" applyAlignment="1">
      <alignment vertical="center" wrapText="1"/>
    </xf>
    <xf numFmtId="0" fontId="4" fillId="2" borderId="3" xfId="147" applyFont="1" applyFill="1" applyBorder="1" applyAlignment="1">
      <alignment horizontal="center" vertical="center" wrapText="1"/>
    </xf>
    <xf numFmtId="0" fontId="4" fillId="2" borderId="3" xfId="142" applyFont="1" applyFill="1" applyBorder="1" applyAlignment="1">
      <alignment horizontal="center" vertical="center" wrapText="1"/>
    </xf>
    <xf numFmtId="0" fontId="15" fillId="2" borderId="3" xfId="86" applyNumberFormat="1" applyFont="1" applyFill="1" applyBorder="1" applyAlignment="1">
      <alignment horizontal="center" vertical="center" wrapText="1"/>
    </xf>
    <xf numFmtId="0" fontId="127" fillId="2" borderId="0" xfId="0" applyFont="1" applyFill="1" applyAlignment="1">
      <alignment horizontal="center" vertical="center"/>
    </xf>
    <xf numFmtId="0" fontId="127" fillId="2" borderId="0" xfId="0" applyFont="1" applyFill="1"/>
    <xf numFmtId="0" fontId="127" fillId="2" borderId="0" xfId="0" applyFont="1" applyFill="1" applyAlignment="1">
      <alignment vertical="center" wrapText="1"/>
    </xf>
    <xf numFmtId="0" fontId="127" fillId="2" borderId="0" xfId="0" applyFont="1" applyFill="1" applyAlignment="1">
      <alignment vertical="center"/>
    </xf>
    <xf numFmtId="0" fontId="127" fillId="2" borderId="0" xfId="0" applyFont="1" applyFill="1" applyAlignment="1">
      <alignment wrapText="1"/>
    </xf>
    <xf numFmtId="0" fontId="134" fillId="2" borderId="0" xfId="0" applyFont="1" applyFill="1" applyAlignment="1">
      <alignment vertical="center"/>
    </xf>
    <xf numFmtId="0" fontId="136" fillId="2" borderId="0" xfId="0" applyFont="1" applyFill="1" applyAlignment="1">
      <alignment horizontal="center" vertical="center"/>
    </xf>
    <xf numFmtId="0" fontId="136" fillId="2" borderId="0" xfId="0" applyFont="1" applyFill="1" applyAlignment="1">
      <alignment horizontal="center" vertical="center" wrapText="1"/>
    </xf>
    <xf numFmtId="0" fontId="127" fillId="2" borderId="0" xfId="0" applyFont="1" applyFill="1" applyAlignment="1">
      <alignment horizontal="center" vertical="center" wrapText="1"/>
    </xf>
    <xf numFmtId="0" fontId="137" fillId="2" borderId="0" xfId="0" applyFont="1" applyFill="1" applyAlignment="1">
      <alignment horizontal="center" vertical="center"/>
    </xf>
    <xf numFmtId="0" fontId="134" fillId="2" borderId="0" xfId="0" applyFont="1" applyFill="1" applyAlignment="1">
      <alignment vertical="center" wrapText="1"/>
    </xf>
    <xf numFmtId="0" fontId="4" fillId="0" borderId="0" xfId="124" applyFont="1" applyFill="1" applyAlignment="1">
      <alignment horizontal="center" vertical="center"/>
    </xf>
    <xf numFmtId="1" fontId="9" fillId="0" borderId="0" xfId="86" applyNumberFormat="1" applyFont="1" applyFill="1" applyAlignment="1">
      <alignment horizontal="left" vertical="center" wrapText="1"/>
    </xf>
    <xf numFmtId="1" fontId="9" fillId="0" borderId="0" xfId="86" applyNumberFormat="1" applyFont="1" applyFill="1" applyAlignment="1">
      <alignment horizontal="center" vertical="center" wrapText="1"/>
    </xf>
    <xf numFmtId="3" fontId="9" fillId="0" borderId="0" xfId="86" applyNumberFormat="1" applyFont="1" applyFill="1" applyAlignment="1">
      <alignment horizontal="center" vertical="center" wrapText="1"/>
    </xf>
    <xf numFmtId="3" fontId="9" fillId="0" borderId="0" xfId="86" applyNumberFormat="1" applyFont="1" applyFill="1" applyAlignment="1">
      <alignment horizontal="right" vertical="center" wrapText="1"/>
    </xf>
    <xf numFmtId="1" fontId="9" fillId="0" borderId="0" xfId="86" applyNumberFormat="1" applyFont="1" applyFill="1" applyBorder="1" applyAlignment="1">
      <alignment horizontal="right" vertical="center" wrapText="1"/>
    </xf>
    <xf numFmtId="3" fontId="8" fillId="0" borderId="3" xfId="87" applyNumberFormat="1" applyFont="1" applyFill="1" applyBorder="1" applyAlignment="1">
      <alignment horizontal="center" vertical="center" wrapText="1"/>
    </xf>
    <xf numFmtId="0" fontId="4" fillId="0" borderId="0" xfId="0" applyFont="1" applyFill="1" applyAlignment="1">
      <alignment horizontal="center" vertical="center"/>
    </xf>
    <xf numFmtId="3" fontId="9" fillId="0" borderId="5" xfId="86" applyNumberFormat="1" applyFont="1" applyFill="1" applyBorder="1" applyAlignment="1">
      <alignment horizontal="center" vertical="center" wrapText="1"/>
    </xf>
    <xf numFmtId="3" fontId="9" fillId="0" borderId="0" xfId="86" applyNumberFormat="1" applyFont="1" applyFill="1" applyBorder="1" applyAlignment="1">
      <alignment horizontal="center" vertical="center" wrapText="1"/>
    </xf>
    <xf numFmtId="0" fontId="9" fillId="0" borderId="0" xfId="0" applyFont="1" applyFill="1" applyAlignment="1">
      <alignment horizontal="center" vertical="center"/>
    </xf>
    <xf numFmtId="3" fontId="119" fillId="0" borderId="3" xfId="86" applyNumberFormat="1" applyFont="1" applyFill="1" applyBorder="1" applyAlignment="1">
      <alignment horizontal="center" vertical="center" wrapText="1"/>
    </xf>
    <xf numFmtId="1" fontId="119" fillId="0" borderId="3" xfId="86" applyNumberFormat="1" applyFont="1" applyFill="1" applyBorder="1" applyAlignment="1">
      <alignment horizontal="center" vertical="center" wrapText="1"/>
    </xf>
    <xf numFmtId="3" fontId="119" fillId="0" borderId="3" xfId="87" applyNumberFormat="1" applyFont="1" applyFill="1" applyBorder="1" applyAlignment="1">
      <alignment horizontal="right" vertical="center" wrapText="1"/>
    </xf>
    <xf numFmtId="3" fontId="119" fillId="0" borderId="3" xfId="87" applyNumberFormat="1" applyFont="1" applyFill="1" applyBorder="1" applyAlignment="1">
      <alignment horizontal="center" vertical="center" wrapText="1"/>
    </xf>
    <xf numFmtId="3" fontId="119" fillId="0" borderId="0" xfId="87" applyNumberFormat="1" applyFont="1" applyFill="1" applyBorder="1" applyAlignment="1">
      <alignment horizontal="center" vertical="center" wrapText="1"/>
    </xf>
    <xf numFmtId="3" fontId="141" fillId="0" borderId="0" xfId="0" applyNumberFormat="1" applyFont="1" applyFill="1" applyAlignment="1">
      <alignment horizontal="center" vertical="center"/>
    </xf>
    <xf numFmtId="0" fontId="141" fillId="0" borderId="0" xfId="0" applyFont="1" applyFill="1" applyAlignment="1">
      <alignment horizontal="center" vertical="center"/>
    </xf>
    <xf numFmtId="3" fontId="8" fillId="0" borderId="3" xfId="86" applyNumberFormat="1" applyFont="1" applyFill="1" applyBorder="1" applyAlignment="1">
      <alignment horizontal="center" vertical="center" wrapText="1"/>
    </xf>
    <xf numFmtId="3" fontId="8" fillId="0" borderId="3" xfId="86" applyNumberFormat="1" applyFont="1" applyFill="1" applyBorder="1" applyAlignment="1">
      <alignment horizontal="left" vertical="center" wrapText="1"/>
    </xf>
    <xf numFmtId="1" fontId="8" fillId="0" borderId="3" xfId="86" applyNumberFormat="1" applyFont="1" applyFill="1" applyBorder="1" applyAlignment="1">
      <alignment horizontal="center" vertical="center" wrapText="1"/>
    </xf>
    <xf numFmtId="3" fontId="8" fillId="0" borderId="3" xfId="87" applyNumberFormat="1" applyFont="1" applyFill="1" applyBorder="1" applyAlignment="1">
      <alignment horizontal="right" vertical="center" wrapText="1"/>
    </xf>
    <xf numFmtId="3" fontId="8" fillId="0" borderId="0" xfId="86" applyNumberFormat="1" applyFont="1" applyFill="1" applyBorder="1" applyAlignment="1">
      <alignment horizontal="center" vertical="center" wrapText="1"/>
    </xf>
    <xf numFmtId="3" fontId="8" fillId="0" borderId="9" xfId="87" applyNumberFormat="1" applyFont="1" applyFill="1" applyBorder="1" applyAlignment="1">
      <alignment horizontal="right" vertical="center" wrapText="1"/>
    </xf>
    <xf numFmtId="3" fontId="11" fillId="0" borderId="3" xfId="86" applyNumberFormat="1" applyFont="1" applyFill="1" applyBorder="1" applyAlignment="1">
      <alignment horizontal="left" vertical="center" wrapText="1"/>
    </xf>
    <xf numFmtId="191" fontId="4" fillId="0" borderId="3" xfId="86" applyNumberFormat="1" applyFont="1" applyFill="1" applyBorder="1" applyAlignment="1">
      <alignment horizontal="center" vertical="center" wrapText="1"/>
    </xf>
    <xf numFmtId="3" fontId="4" fillId="0" borderId="0" xfId="86" applyNumberFormat="1" applyFont="1" applyFill="1" applyBorder="1" applyAlignment="1">
      <alignment horizontal="center" vertical="center" wrapText="1"/>
    </xf>
    <xf numFmtId="3" fontId="4" fillId="0" borderId="3" xfId="86" applyNumberFormat="1" applyFont="1" applyFill="1" applyBorder="1" applyAlignment="1">
      <alignment horizontal="left" vertical="center" wrapText="1"/>
    </xf>
    <xf numFmtId="1" fontId="4" fillId="0" borderId="3" xfId="86" applyNumberFormat="1" applyFont="1" applyFill="1" applyBorder="1" applyAlignment="1">
      <alignment horizontal="center" vertical="center" wrapText="1"/>
    </xf>
    <xf numFmtId="3" fontId="4" fillId="0" borderId="3" xfId="86" applyNumberFormat="1" applyFont="1" applyFill="1" applyBorder="1" applyAlignment="1">
      <alignment vertical="center" wrapText="1"/>
    </xf>
    <xf numFmtId="3" fontId="4" fillId="0" borderId="3" xfId="86" applyNumberFormat="1" applyFont="1" applyFill="1" applyBorder="1" applyAlignment="1">
      <alignment horizontal="right" vertical="center" wrapText="1"/>
    </xf>
    <xf numFmtId="3" fontId="4" fillId="0" borderId="9" xfId="86" applyNumberFormat="1" applyFont="1" applyFill="1" applyBorder="1" applyAlignment="1">
      <alignment horizontal="right" vertical="center" wrapText="1"/>
    </xf>
    <xf numFmtId="0" fontId="4" fillId="0" borderId="0" xfId="0" applyFont="1" applyFill="1" applyAlignment="1">
      <alignment vertical="center" wrapText="1"/>
    </xf>
    <xf numFmtId="3" fontId="4" fillId="0" borderId="0"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3" xfId="86" quotePrefix="1" applyNumberFormat="1" applyFont="1" applyFill="1" applyBorder="1" applyAlignment="1">
      <alignment horizontal="center" vertical="center" wrapText="1"/>
    </xf>
    <xf numFmtId="3" fontId="4" fillId="0" borderId="3" xfId="87" applyNumberFormat="1" applyFont="1" applyFill="1" applyBorder="1" applyAlignment="1">
      <alignment horizontal="right" vertical="center" wrapText="1"/>
    </xf>
    <xf numFmtId="3" fontId="4" fillId="0" borderId="5" xfId="87" applyNumberFormat="1" applyFont="1" applyFill="1" applyBorder="1" applyAlignment="1">
      <alignment horizontal="right" vertical="center" wrapText="1"/>
    </xf>
    <xf numFmtId="3" fontId="4" fillId="0" borderId="9" xfId="87" applyNumberFormat="1" applyFont="1" applyFill="1" applyBorder="1" applyAlignment="1">
      <alignment horizontal="right" vertical="center" wrapText="1"/>
    </xf>
    <xf numFmtId="170" fontId="4" fillId="0" borderId="3" xfId="1" applyNumberFormat="1" applyFont="1" applyFill="1" applyBorder="1" applyAlignment="1">
      <alignment horizontal="center" vertical="center" wrapText="1"/>
    </xf>
    <xf numFmtId="3" fontId="4" fillId="0" borderId="3"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170" fontId="4" fillId="0" borderId="3" xfId="1" quotePrefix="1" applyNumberFormat="1" applyFont="1" applyFill="1" applyBorder="1" applyAlignment="1">
      <alignment horizontal="center" vertical="center" wrapText="1"/>
    </xf>
    <xf numFmtId="0" fontId="4" fillId="0" borderId="0" xfId="0" applyFont="1" applyFill="1" applyAlignment="1">
      <alignment vertical="center"/>
    </xf>
    <xf numFmtId="1"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vertical="center" wrapText="1"/>
    </xf>
    <xf numFmtId="3" fontId="4" fillId="0" borderId="9" xfId="0" applyNumberFormat="1" applyFont="1" applyFill="1" applyBorder="1" applyAlignment="1">
      <alignment horizontal="right" vertical="center" wrapText="1"/>
    </xf>
    <xf numFmtId="170" fontId="4" fillId="0" borderId="3" xfId="26" applyNumberFormat="1" applyFont="1" applyFill="1" applyBorder="1" applyAlignment="1">
      <alignment horizontal="center" vertical="center" wrapText="1"/>
    </xf>
    <xf numFmtId="1" fontId="4" fillId="0" borderId="3" xfId="87" quotePrefix="1" applyNumberFormat="1" applyFont="1" applyFill="1" applyBorder="1" applyAlignment="1">
      <alignment horizontal="justify" vertical="center" wrapText="1"/>
    </xf>
    <xf numFmtId="3" fontId="4" fillId="0" borderId="3" xfId="0" quotePrefix="1" applyNumberFormat="1" applyFont="1" applyFill="1" applyBorder="1" applyAlignment="1">
      <alignment horizontal="justify" vertical="center" wrapText="1"/>
    </xf>
    <xf numFmtId="0" fontId="8" fillId="0" borderId="0" xfId="0" applyFont="1" applyFill="1" applyAlignment="1">
      <alignment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justify" vertical="center" wrapText="1"/>
    </xf>
    <xf numFmtId="1" fontId="4" fillId="0" borderId="3" xfId="0" quotePrefix="1" applyNumberFormat="1" applyFont="1" applyFill="1" applyBorder="1" applyAlignment="1">
      <alignment horizontal="center" vertical="center" wrapText="1"/>
    </xf>
    <xf numFmtId="3" fontId="4" fillId="0" borderId="5" xfId="0" applyNumberFormat="1" applyFont="1" applyFill="1" applyBorder="1" applyAlignment="1">
      <alignment horizontal="right" vertical="center" wrapText="1"/>
    </xf>
    <xf numFmtId="3" fontId="4" fillId="0" borderId="3" xfId="1"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9" xfId="0" applyFont="1" applyFill="1" applyBorder="1" applyAlignment="1">
      <alignment horizontal="right" vertical="center" wrapText="1"/>
    </xf>
    <xf numFmtId="3" fontId="4" fillId="0" borderId="3" xfId="0" applyNumberFormat="1" applyFont="1" applyFill="1" applyBorder="1" applyAlignment="1">
      <alignment vertical="center" wrapText="1"/>
    </xf>
    <xf numFmtId="3" fontId="4" fillId="0" borderId="0" xfId="0" applyNumberFormat="1" applyFont="1" applyFill="1" applyBorder="1" applyAlignment="1">
      <alignment vertical="center" wrapText="1"/>
    </xf>
    <xf numFmtId="1" fontId="4" fillId="0" borderId="3" xfId="86" applyNumberFormat="1" applyFont="1" applyFill="1" applyBorder="1" applyAlignment="1">
      <alignment horizontal="left" vertical="center" wrapText="1"/>
    </xf>
    <xf numFmtId="3" fontId="4" fillId="0" borderId="3" xfId="23" applyNumberFormat="1" applyFont="1" applyFill="1" applyBorder="1" applyAlignment="1">
      <alignment horizontal="right" vertical="center" wrapText="1"/>
    </xf>
    <xf numFmtId="1" fontId="8" fillId="0" borderId="0" xfId="0" applyNumberFormat="1" applyFont="1" applyFill="1" applyAlignment="1">
      <alignment vertical="center" wrapText="1"/>
    </xf>
    <xf numFmtId="1" fontId="4" fillId="0" borderId="2" xfId="8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0" fontId="4" fillId="0" borderId="3" xfId="0" applyNumberFormat="1" applyFont="1" applyFill="1" applyBorder="1" applyAlignment="1">
      <alignment horizontal="center" vertical="center" wrapText="1"/>
    </xf>
    <xf numFmtId="0" fontId="4" fillId="0" borderId="0" xfId="0" applyFont="1" applyFill="1" applyBorder="1" applyAlignment="1">
      <alignment vertical="center" wrapText="1"/>
    </xf>
    <xf numFmtId="1" fontId="4" fillId="0" borderId="3" xfId="0" applyNumberFormat="1" applyFont="1" applyFill="1" applyBorder="1" applyAlignment="1">
      <alignment horizontal="center" vertical="center"/>
    </xf>
    <xf numFmtId="0" fontId="4" fillId="0" borderId="3" xfId="130" applyFont="1" applyFill="1" applyBorder="1" applyAlignment="1">
      <alignment horizontal="left" vertical="center" wrapText="1"/>
    </xf>
    <xf numFmtId="0" fontId="4" fillId="0" borderId="3" xfId="130" applyFont="1" applyFill="1" applyBorder="1" applyAlignment="1">
      <alignment horizontal="center" vertical="center" wrapText="1"/>
    </xf>
    <xf numFmtId="1" fontId="4" fillId="0" borderId="3" xfId="87" applyNumberFormat="1" applyFont="1" applyFill="1" applyBorder="1" applyAlignment="1">
      <alignment horizontal="left" vertical="center" wrapText="1"/>
    </xf>
    <xf numFmtId="1" fontId="4" fillId="0" borderId="3" xfId="124" applyNumberFormat="1" applyFont="1" applyFill="1" applyBorder="1" applyAlignment="1">
      <alignment horizontal="center" vertical="center" wrapText="1"/>
    </xf>
    <xf numFmtId="3" fontId="4" fillId="0" borderId="3" xfId="124" applyNumberFormat="1" applyFont="1" applyFill="1" applyBorder="1" applyAlignment="1">
      <alignment horizontal="center" vertical="center" wrapText="1"/>
    </xf>
    <xf numFmtId="3" fontId="4" fillId="0" borderId="3" xfId="86" quotePrefix="1" applyNumberFormat="1" applyFont="1" applyFill="1" applyBorder="1" applyAlignment="1">
      <alignment horizontal="right" vertical="center" wrapText="1"/>
    </xf>
    <xf numFmtId="3" fontId="4" fillId="0" borderId="0" xfId="86" applyNumberFormat="1" applyFont="1" applyFill="1" applyBorder="1" applyAlignment="1">
      <alignment vertical="center" wrapText="1"/>
    </xf>
    <xf numFmtId="170" fontId="8" fillId="0" borderId="0" xfId="0" applyNumberFormat="1" applyFont="1" applyFill="1" applyBorder="1" applyAlignment="1">
      <alignment horizontal="center" vertical="center" wrapText="1"/>
    </xf>
    <xf numFmtId="3" fontId="8" fillId="0" borderId="0" xfId="0" applyNumberFormat="1" applyFont="1" applyFill="1" applyAlignment="1">
      <alignment horizontal="center" vertical="center"/>
    </xf>
    <xf numFmtId="0" fontId="8" fillId="0" borderId="0" xfId="0" applyFont="1" applyFill="1" applyAlignment="1">
      <alignment horizontal="center" vertical="center"/>
    </xf>
    <xf numFmtId="170" fontId="8" fillId="0" borderId="3" xfId="0" applyNumberFormat="1" applyFont="1" applyFill="1" applyBorder="1" applyAlignment="1">
      <alignment horizontal="center" vertical="center" wrapText="1"/>
    </xf>
    <xf numFmtId="170" fontId="4" fillId="0" borderId="0" xfId="0" applyNumberFormat="1" applyFont="1" applyFill="1" applyBorder="1" applyAlignment="1">
      <alignment horizontal="center" vertical="center" wrapText="1"/>
    </xf>
    <xf numFmtId="1" fontId="4" fillId="0" borderId="2" xfId="86" applyNumberFormat="1" applyFont="1" applyFill="1" applyBorder="1" applyAlignment="1">
      <alignment horizontal="left" vertical="center" wrapText="1"/>
    </xf>
    <xf numFmtId="1" fontId="4" fillId="0" borderId="2" xfId="0" applyNumberFormat="1" applyFont="1" applyFill="1" applyBorder="1" applyAlignment="1">
      <alignment horizontal="center" vertical="center" wrapText="1"/>
    </xf>
    <xf numFmtId="170"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right" vertical="center" wrapText="1"/>
    </xf>
    <xf numFmtId="0" fontId="4" fillId="0" borderId="3" xfId="131" applyFont="1" applyFill="1" applyBorder="1" applyAlignment="1">
      <alignment horizontal="left" vertical="center" wrapText="1"/>
    </xf>
    <xf numFmtId="3" fontId="4" fillId="0" borderId="3" xfId="131" applyNumberFormat="1" applyFont="1" applyFill="1" applyBorder="1" applyAlignment="1">
      <alignment horizontal="center" vertical="center" wrapText="1"/>
    </xf>
    <xf numFmtId="0" fontId="116" fillId="0" borderId="0" xfId="0" applyFont="1" applyFill="1" applyAlignment="1">
      <alignment vertical="center" wrapText="1"/>
    </xf>
    <xf numFmtId="3" fontId="11" fillId="0" borderId="3" xfId="87" applyNumberFormat="1" applyFont="1" applyFill="1" applyBorder="1" applyAlignment="1">
      <alignment horizontal="right" vertical="center" wrapText="1"/>
    </xf>
    <xf numFmtId="1" fontId="4" fillId="0" borderId="3" xfId="0" applyNumberFormat="1" applyFont="1" applyFill="1" applyBorder="1" applyAlignment="1">
      <alignment horizontal="justify" vertical="center" wrapText="1"/>
    </xf>
    <xf numFmtId="3" fontId="4" fillId="0" borderId="3" xfId="26" applyNumberFormat="1" applyFont="1" applyFill="1" applyBorder="1" applyAlignment="1">
      <alignment horizontal="right" vertical="center" wrapText="1"/>
    </xf>
    <xf numFmtId="0" fontId="8" fillId="0" borderId="0" xfId="0" applyFont="1" applyFill="1" applyBorder="1" applyAlignment="1">
      <alignment vertical="center" wrapText="1"/>
    </xf>
    <xf numFmtId="0" fontId="4" fillId="0" borderId="0" xfId="0" applyFont="1" applyFill="1" applyAlignment="1">
      <alignment horizontal="center" vertical="center" wrapText="1"/>
    </xf>
    <xf numFmtId="3" fontId="4" fillId="0" borderId="3" xfId="126" applyNumberFormat="1" applyFont="1" applyFill="1" applyBorder="1" applyAlignment="1">
      <alignment horizontal="center" vertical="center" wrapText="1"/>
    </xf>
    <xf numFmtId="3" fontId="4" fillId="0" borderId="3" xfId="116" applyNumberFormat="1" applyFont="1" applyFill="1" applyBorder="1" applyAlignment="1">
      <alignment horizontal="right" vertical="center" wrapText="1"/>
    </xf>
    <xf numFmtId="3" fontId="4" fillId="0" borderId="3" xfId="7" applyNumberFormat="1" applyFont="1" applyFill="1" applyBorder="1" applyAlignment="1">
      <alignment horizontal="right" vertical="center" wrapText="1"/>
    </xf>
    <xf numFmtId="3" fontId="4" fillId="0" borderId="0" xfId="0" applyNumberFormat="1" applyFont="1" applyFill="1" applyAlignment="1">
      <alignment vertical="center" wrapText="1"/>
    </xf>
    <xf numFmtId="2" fontId="4" fillId="0" borderId="3" xfId="87" applyNumberFormat="1" applyFont="1" applyFill="1" applyBorder="1" applyAlignment="1">
      <alignment vertical="center" wrapText="1"/>
    </xf>
    <xf numFmtId="1" fontId="4" fillId="0" borderId="0" xfId="0" applyNumberFormat="1" applyFont="1" applyFill="1" applyBorder="1" applyAlignment="1">
      <alignment vertical="center" wrapText="1"/>
    </xf>
    <xf numFmtId="2" fontId="4" fillId="0" borderId="3" xfId="87" applyNumberFormat="1" applyFont="1" applyFill="1" applyBorder="1" applyAlignment="1">
      <alignment horizontal="center" vertical="center" wrapText="1"/>
    </xf>
    <xf numFmtId="3" fontId="4" fillId="0" borderId="3" xfId="87" applyNumberFormat="1" applyFont="1" applyFill="1" applyBorder="1" applyAlignment="1">
      <alignment horizontal="center" vertical="center" wrapText="1"/>
    </xf>
    <xf numFmtId="0" fontId="9" fillId="0" borderId="0" xfId="0" applyFont="1" applyFill="1" applyAlignment="1">
      <alignment vertical="center" wrapText="1"/>
    </xf>
    <xf numFmtId="0" fontId="4" fillId="0" borderId="3" xfId="87"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3" fontId="4" fillId="0" borderId="3" xfId="1" applyNumberFormat="1" applyFont="1" applyFill="1" applyBorder="1" applyAlignment="1">
      <alignment horizontal="right" vertical="center"/>
    </xf>
    <xf numFmtId="170" fontId="4" fillId="0" borderId="3" xfId="122" applyNumberFormat="1" applyFont="1" applyFill="1" applyBorder="1" applyAlignment="1">
      <alignment horizontal="right" vertical="center" wrapText="1"/>
    </xf>
    <xf numFmtId="49" fontId="4" fillId="0" borderId="0" xfId="116" applyNumberFormat="1" applyFont="1" applyFill="1" applyBorder="1" applyAlignment="1">
      <alignment horizontal="center" vertical="center"/>
    </xf>
    <xf numFmtId="9" fontId="4" fillId="0" borderId="3" xfId="145" applyFont="1" applyFill="1" applyBorder="1" applyAlignment="1">
      <alignment horizontal="left" vertical="center" wrapText="1"/>
    </xf>
    <xf numFmtId="9" fontId="4" fillId="0" borderId="3" xfId="145" applyFont="1" applyFill="1" applyBorder="1" applyAlignment="1">
      <alignment horizontal="center" vertical="center" wrapText="1"/>
    </xf>
    <xf numFmtId="170" fontId="4" fillId="0" borderId="3" xfId="1" applyNumberFormat="1" applyFont="1" applyFill="1" applyBorder="1" applyAlignment="1">
      <alignment horizontal="right" vertical="center" wrapText="1"/>
    </xf>
    <xf numFmtId="170" fontId="4" fillId="0" borderId="3" xfId="122" applyNumberFormat="1" applyFont="1" applyFill="1" applyBorder="1" applyAlignment="1">
      <alignment horizontal="center" vertical="center" wrapText="1"/>
    </xf>
    <xf numFmtId="0" fontId="4" fillId="0" borderId="0" xfId="89" applyFont="1" applyFill="1" applyAlignment="1">
      <alignment horizontal="center" vertical="center"/>
    </xf>
    <xf numFmtId="0" fontId="8" fillId="0" borderId="3" xfId="0" quotePrefix="1" applyFont="1" applyFill="1" applyBorder="1" applyAlignment="1">
      <alignment horizontal="center" vertical="center"/>
    </xf>
    <xf numFmtId="3" fontId="8" fillId="0" borderId="0" xfId="87" applyNumberFormat="1" applyFont="1" applyFill="1" applyBorder="1" applyAlignment="1">
      <alignment horizontal="right" vertical="center" wrapText="1"/>
    </xf>
    <xf numFmtId="3" fontId="4" fillId="0" borderId="3" xfId="148" applyNumberFormat="1" applyFont="1" applyFill="1" applyBorder="1" applyAlignment="1">
      <alignment vertical="center" wrapText="1"/>
    </xf>
    <xf numFmtId="2" fontId="4" fillId="0" borderId="3" xfId="0" applyNumberFormat="1" applyFont="1" applyFill="1" applyBorder="1" applyAlignment="1">
      <alignment horizontal="center" vertical="center" wrapText="1"/>
    </xf>
    <xf numFmtId="3" fontId="4" fillId="0" borderId="3" xfId="149" applyNumberFormat="1" applyFont="1" applyFill="1" applyBorder="1" applyAlignment="1">
      <alignment vertical="center" wrapText="1"/>
    </xf>
    <xf numFmtId="3" fontId="4" fillId="0" borderId="3" xfId="150" applyNumberFormat="1" applyFont="1" applyFill="1" applyBorder="1" applyAlignment="1">
      <alignment vertical="center" wrapText="1"/>
    </xf>
    <xf numFmtId="2" fontId="4" fillId="0" borderId="3" xfId="0" applyNumberFormat="1" applyFont="1" applyFill="1" applyBorder="1" applyAlignment="1">
      <alignment horizontal="justify" vertical="center" wrapText="1"/>
    </xf>
    <xf numFmtId="3" fontId="4" fillId="0" borderId="3" xfId="151" applyNumberFormat="1" applyFont="1" applyFill="1" applyBorder="1" applyAlignment="1">
      <alignment vertical="center" wrapText="1"/>
    </xf>
    <xf numFmtId="1" fontId="4" fillId="0" borderId="3" xfId="86" applyNumberFormat="1" applyFont="1" applyFill="1" applyBorder="1" applyAlignment="1">
      <alignment vertical="center" wrapText="1"/>
    </xf>
    <xf numFmtId="0" fontId="4" fillId="0" borderId="3" xfId="152" applyNumberFormat="1" applyFont="1" applyFill="1" applyBorder="1" applyAlignment="1">
      <alignment horizontal="center" vertical="center"/>
    </xf>
    <xf numFmtId="1" fontId="4" fillId="0" borderId="3" xfId="153" applyNumberFormat="1" applyFont="1" applyFill="1" applyBorder="1" applyAlignment="1">
      <alignment horizontal="center" vertical="center" wrapText="1"/>
    </xf>
    <xf numFmtId="3" fontId="4" fillId="0" borderId="3" xfId="87" applyNumberFormat="1" applyFont="1" applyFill="1" applyBorder="1" applyAlignment="1">
      <alignment vertical="center" wrapText="1"/>
    </xf>
    <xf numFmtId="0" fontId="4" fillId="0" borderId="3" xfId="154" applyNumberFormat="1" applyFont="1" applyFill="1" applyBorder="1" applyAlignment="1">
      <alignment horizontal="center" vertical="center"/>
    </xf>
    <xf numFmtId="3" fontId="4" fillId="0" borderId="3" xfId="122" applyNumberFormat="1" applyFont="1" applyFill="1" applyBorder="1" applyAlignment="1">
      <alignment horizontal="right" vertical="center" wrapText="1"/>
    </xf>
    <xf numFmtId="0" fontId="4" fillId="0" borderId="3" xfId="0" applyNumberFormat="1" applyFont="1" applyFill="1" applyBorder="1" applyAlignment="1">
      <alignment horizontal="center" vertical="center"/>
    </xf>
    <xf numFmtId="0" fontId="4" fillId="0" borderId="3" xfId="155" applyFont="1" applyFill="1" applyBorder="1" applyAlignment="1">
      <alignment horizontal="center" vertical="center" wrapText="1"/>
    </xf>
    <xf numFmtId="0" fontId="4" fillId="0" borderId="3" xfId="157" applyNumberFormat="1" applyFont="1" applyFill="1" applyBorder="1" applyAlignment="1">
      <alignment horizontal="center" vertical="center"/>
    </xf>
    <xf numFmtId="0" fontId="4" fillId="0" borderId="3" xfId="0" applyFont="1" applyFill="1" applyBorder="1" applyAlignment="1">
      <alignment horizontal="right" vertical="center"/>
    </xf>
    <xf numFmtId="0" fontId="4" fillId="0" borderId="3" xfId="158" applyNumberFormat="1" applyFont="1" applyFill="1" applyBorder="1" applyAlignment="1">
      <alignment horizontal="center" vertical="center"/>
    </xf>
    <xf numFmtId="0" fontId="4" fillId="0" borderId="3" xfId="159" applyNumberFormat="1" applyFont="1" applyFill="1" applyBorder="1" applyAlignment="1">
      <alignment horizontal="center" vertical="center"/>
    </xf>
    <xf numFmtId="1" fontId="4" fillId="0" borderId="3" xfId="160" applyNumberFormat="1" applyFont="1" applyFill="1" applyBorder="1" applyAlignment="1">
      <alignment horizontal="center" vertical="center" wrapText="1"/>
    </xf>
    <xf numFmtId="1" fontId="4" fillId="0" borderId="3" xfId="161" applyNumberFormat="1" applyFont="1" applyFill="1" applyBorder="1" applyAlignment="1">
      <alignment horizontal="center" vertical="center" wrapText="1"/>
    </xf>
    <xf numFmtId="3" fontId="8" fillId="0" borderId="3" xfId="87" applyNumberFormat="1" applyFont="1" applyFill="1" applyBorder="1" applyAlignment="1">
      <alignment vertical="center" wrapText="1"/>
    </xf>
    <xf numFmtId="170" fontId="4" fillId="0" borderId="3" xfId="1" applyNumberFormat="1" applyFont="1" applyFill="1" applyBorder="1" applyAlignment="1">
      <alignment horizontal="right" vertical="center"/>
    </xf>
    <xf numFmtId="0" fontId="4" fillId="0" borderId="3" xfId="146" applyNumberFormat="1" applyFont="1" applyFill="1" applyBorder="1" applyAlignment="1">
      <alignment vertical="center" wrapText="1"/>
    </xf>
    <xf numFmtId="1" fontId="4" fillId="0" borderId="3" xfId="147" applyNumberFormat="1" applyFont="1" applyFill="1" applyBorder="1" applyAlignment="1">
      <alignment horizontal="center" vertical="center" wrapText="1"/>
    </xf>
    <xf numFmtId="3" fontId="8" fillId="0" borderId="3" xfId="86" applyNumberFormat="1" applyFont="1" applyFill="1" applyBorder="1" applyAlignment="1">
      <alignment horizontal="right" vertical="center" wrapText="1"/>
    </xf>
    <xf numFmtId="3" fontId="8" fillId="0" borderId="0" xfId="86" applyNumberFormat="1" applyFont="1" applyFill="1" applyBorder="1" applyAlignment="1">
      <alignment horizontal="right" vertical="center" wrapText="1"/>
    </xf>
    <xf numFmtId="3" fontId="8" fillId="0" borderId="0" xfId="0" applyNumberFormat="1" applyFont="1" applyFill="1" applyAlignment="1">
      <alignment vertical="center" wrapText="1"/>
    </xf>
    <xf numFmtId="3" fontId="8" fillId="0" borderId="3" xfId="0" applyNumberFormat="1" applyFont="1" applyFill="1" applyBorder="1" applyAlignment="1">
      <alignment vertical="center" wrapText="1"/>
    </xf>
    <xf numFmtId="3" fontId="4" fillId="0" borderId="3" xfId="162" applyNumberFormat="1" applyFont="1" applyFill="1" applyBorder="1" applyAlignment="1">
      <alignment horizontal="right" vertical="center"/>
    </xf>
    <xf numFmtId="3" fontId="4" fillId="0" borderId="3" xfId="163" applyNumberFormat="1" applyFont="1" applyFill="1" applyBorder="1" applyAlignment="1">
      <alignment horizontal="right" vertical="center"/>
    </xf>
    <xf numFmtId="3" fontId="4" fillId="0" borderId="3" xfId="164" applyNumberFormat="1" applyFont="1" applyFill="1" applyBorder="1" applyAlignment="1">
      <alignment vertical="center"/>
    </xf>
    <xf numFmtId="3" fontId="4" fillId="0" borderId="3" xfId="165" applyNumberFormat="1" applyFont="1" applyFill="1" applyBorder="1" applyAlignment="1">
      <alignment horizontal="right" vertical="center"/>
    </xf>
    <xf numFmtId="3" fontId="4" fillId="0" borderId="3" xfId="166" applyNumberFormat="1" applyFont="1" applyFill="1" applyBorder="1" applyAlignment="1">
      <alignment horizontal="right" vertical="center"/>
    </xf>
    <xf numFmtId="3" fontId="4" fillId="0" borderId="3" xfId="166" applyNumberFormat="1" applyFont="1" applyFill="1" applyBorder="1" applyAlignment="1">
      <alignment vertical="center"/>
    </xf>
    <xf numFmtId="3" fontId="4" fillId="0" borderId="3" xfId="167" applyNumberFormat="1" applyFont="1" applyFill="1" applyBorder="1" applyAlignment="1">
      <alignment horizontal="right" vertical="center"/>
    </xf>
    <xf numFmtId="3" fontId="4" fillId="0" borderId="3" xfId="167" applyNumberFormat="1" applyFont="1" applyFill="1" applyBorder="1" applyAlignment="1">
      <alignment vertical="center"/>
    </xf>
    <xf numFmtId="0" fontId="8" fillId="0" borderId="3" xfId="0" applyFont="1" applyFill="1" applyBorder="1" applyAlignment="1">
      <alignment vertical="center" wrapText="1"/>
    </xf>
    <xf numFmtId="3" fontId="4" fillId="0" borderId="3" xfId="168" applyNumberFormat="1" applyFont="1" applyFill="1" applyBorder="1" applyAlignment="1">
      <alignment vertical="center"/>
    </xf>
    <xf numFmtId="3" fontId="4" fillId="0" borderId="3" xfId="122" applyNumberFormat="1" applyFont="1" applyFill="1" applyBorder="1" applyAlignment="1">
      <alignment vertical="center" wrapText="1"/>
    </xf>
    <xf numFmtId="3" fontId="4" fillId="0" borderId="3" xfId="169" applyNumberFormat="1" applyFont="1" applyFill="1" applyBorder="1" applyAlignment="1">
      <alignment horizontal="right" vertical="center"/>
    </xf>
    <xf numFmtId="3" fontId="4" fillId="0" borderId="3" xfId="169" applyNumberFormat="1" applyFont="1" applyFill="1" applyBorder="1" applyAlignment="1">
      <alignment vertical="center"/>
    </xf>
    <xf numFmtId="1" fontId="9" fillId="0" borderId="3" xfId="0" applyNumberFormat="1" applyFont="1" applyFill="1" applyBorder="1" applyAlignment="1">
      <alignment horizontal="center" vertical="center" wrapText="1"/>
    </xf>
    <xf numFmtId="3" fontId="4" fillId="0" borderId="3" xfId="170" applyNumberFormat="1" applyFont="1" applyFill="1" applyBorder="1" applyAlignment="1">
      <alignment horizontal="right" vertical="center"/>
    </xf>
    <xf numFmtId="3" fontId="4" fillId="0" borderId="3" xfId="171" applyNumberFormat="1" applyFont="1" applyFill="1" applyBorder="1" applyAlignment="1">
      <alignment horizontal="right" vertical="center"/>
    </xf>
    <xf numFmtId="3" fontId="4" fillId="0" borderId="3" xfId="172" applyNumberFormat="1" applyFont="1" applyFill="1" applyBorder="1" applyAlignment="1">
      <alignment horizontal="right" vertical="center"/>
    </xf>
    <xf numFmtId="3" fontId="4" fillId="0" borderId="3" xfId="172" applyNumberFormat="1" applyFont="1" applyFill="1" applyBorder="1" applyAlignment="1">
      <alignment vertical="center"/>
    </xf>
    <xf numFmtId="2" fontId="4" fillId="0" borderId="3" xfId="87" applyNumberFormat="1" applyFont="1" applyFill="1" applyBorder="1" applyAlignment="1">
      <alignment horizontal="justify" vertical="center" wrapText="1"/>
    </xf>
    <xf numFmtId="3" fontId="4" fillId="0" borderId="3" xfId="173" applyNumberFormat="1" applyFont="1" applyFill="1" applyBorder="1" applyAlignment="1">
      <alignment horizontal="right" vertical="center"/>
    </xf>
    <xf numFmtId="1" fontId="4" fillId="0" borderId="3" xfId="86" applyNumberFormat="1" applyFont="1" applyFill="1" applyBorder="1" applyAlignment="1">
      <alignment horizontal="justify" vertical="center" wrapText="1"/>
    </xf>
    <xf numFmtId="3" fontId="4" fillId="0" borderId="3" xfId="174" applyNumberFormat="1" applyFont="1" applyFill="1" applyBorder="1" applyAlignment="1">
      <alignment horizontal="right" vertical="center"/>
    </xf>
    <xf numFmtId="3" fontId="4" fillId="0" borderId="3" xfId="175" applyNumberFormat="1" applyFont="1" applyFill="1" applyBorder="1" applyAlignment="1">
      <alignment horizontal="right" vertical="center"/>
    </xf>
    <xf numFmtId="0" fontId="4" fillId="0" borderId="3" xfId="176" applyNumberFormat="1" applyFont="1" applyFill="1" applyBorder="1" applyAlignment="1">
      <alignment horizontal="center" vertical="center"/>
    </xf>
    <xf numFmtId="188" fontId="4" fillId="0" borderId="3" xfId="86" applyNumberFormat="1" applyFont="1" applyFill="1" applyBorder="1" applyAlignment="1">
      <alignment horizontal="right" vertical="center"/>
    </xf>
    <xf numFmtId="170" fontId="4" fillId="0" borderId="3" xfId="7" applyNumberFormat="1" applyFont="1" applyFill="1" applyBorder="1" applyAlignment="1">
      <alignment vertical="center"/>
    </xf>
    <xf numFmtId="3" fontId="4" fillId="0" borderId="0" xfId="86" applyNumberFormat="1" applyFont="1" applyFill="1" applyAlignment="1">
      <alignment vertical="center" wrapText="1"/>
    </xf>
    <xf numFmtId="0" fontId="11" fillId="0" borderId="0" xfId="0" applyFont="1" applyFill="1" applyAlignment="1">
      <alignment horizontal="center" vertical="center"/>
    </xf>
    <xf numFmtId="0" fontId="9" fillId="0" borderId="3" xfId="0" applyFont="1" applyFill="1" applyBorder="1" applyAlignment="1">
      <alignment vertical="center" wrapText="1"/>
    </xf>
    <xf numFmtId="0" fontId="4" fillId="0" borderId="3" xfId="177"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9" fillId="0" borderId="3" xfId="86" quotePrefix="1" applyNumberFormat="1" applyFont="1" applyFill="1" applyBorder="1" applyAlignment="1">
      <alignment horizontal="right" vertical="center" wrapText="1"/>
    </xf>
    <xf numFmtId="0" fontId="4" fillId="0" borderId="3" xfId="178" applyNumberFormat="1" applyFont="1" applyFill="1" applyBorder="1" applyAlignment="1">
      <alignment horizontal="center" vertical="center"/>
    </xf>
    <xf numFmtId="0" fontId="4" fillId="0" borderId="3" xfId="179" applyNumberFormat="1" applyFont="1" applyFill="1" applyBorder="1" applyAlignment="1">
      <alignment horizontal="center" vertical="center"/>
    </xf>
    <xf numFmtId="0" fontId="4" fillId="0" borderId="3" xfId="180" applyNumberFormat="1" applyFont="1" applyFill="1" applyBorder="1" applyAlignment="1">
      <alignment horizontal="center" vertical="center"/>
    </xf>
    <xf numFmtId="0" fontId="4" fillId="0" borderId="3" xfId="181" applyNumberFormat="1" applyFont="1" applyFill="1" applyBorder="1" applyAlignment="1">
      <alignment horizontal="center" vertical="center"/>
    </xf>
    <xf numFmtId="0" fontId="4" fillId="0" borderId="3" xfId="182" applyNumberFormat="1" applyFont="1" applyFill="1" applyBorder="1" applyAlignment="1">
      <alignment horizontal="center" vertical="center"/>
    </xf>
    <xf numFmtId="192" fontId="4" fillId="0" borderId="3" xfId="124" quotePrefix="1" applyNumberFormat="1" applyFont="1" applyFill="1" applyBorder="1" applyAlignment="1">
      <alignment horizontal="center" vertical="center" wrapText="1"/>
    </xf>
    <xf numFmtId="170" fontId="4" fillId="0" borderId="3" xfId="7" applyNumberFormat="1" applyFont="1" applyFill="1" applyBorder="1" applyAlignment="1">
      <alignment horizontal="right" vertical="center" wrapText="1"/>
    </xf>
    <xf numFmtId="3" fontId="8" fillId="0" borderId="3"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4" fillId="0" borderId="3" xfId="86" applyNumberFormat="1" applyFont="1" applyFill="1" applyBorder="1" applyAlignment="1">
      <alignment horizontal="center" vertical="center"/>
    </xf>
    <xf numFmtId="3" fontId="4" fillId="0" borderId="3" xfId="0" applyNumberFormat="1" applyFont="1" applyFill="1" applyBorder="1" applyAlignment="1">
      <alignment horizontal="left" vertical="center" wrapText="1"/>
    </xf>
    <xf numFmtId="1" fontId="8" fillId="0" borderId="3" xfId="86"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3" fontId="8" fillId="0" borderId="3" xfId="0" applyNumberFormat="1" applyFont="1" applyFill="1" applyBorder="1" applyAlignment="1">
      <alignment horizontal="right" vertical="center" wrapText="1"/>
    </xf>
    <xf numFmtId="3" fontId="8" fillId="0" borderId="3" xfId="0" applyNumberFormat="1" applyFont="1" applyFill="1" applyBorder="1" applyAlignment="1">
      <alignment horizontal="right" vertical="center"/>
    </xf>
    <xf numFmtId="1" fontId="9" fillId="0" borderId="3" xfId="87" applyNumberFormat="1" applyFont="1" applyFill="1" applyBorder="1" applyAlignment="1">
      <alignment horizontal="center" vertical="center" wrapText="1"/>
    </xf>
    <xf numFmtId="1" fontId="9" fillId="0" borderId="0" xfId="87"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4" fillId="0" borderId="3" xfId="0" applyFont="1" applyFill="1" applyBorder="1" applyAlignment="1">
      <alignment vertical="center"/>
    </xf>
    <xf numFmtId="3" fontId="4" fillId="0" borderId="3" xfId="0" applyNumberFormat="1" applyFont="1" applyFill="1" applyBorder="1" applyAlignment="1">
      <alignment vertical="center"/>
    </xf>
    <xf numFmtId="0" fontId="8" fillId="0" borderId="0" xfId="0" applyFont="1" applyFill="1" applyBorder="1" applyAlignment="1">
      <alignment horizontal="center" vertical="center" wrapText="1"/>
    </xf>
    <xf numFmtId="1" fontId="9" fillId="0" borderId="0" xfId="86" applyNumberFormat="1" applyFont="1" applyFill="1" applyBorder="1" applyAlignment="1">
      <alignment horizontal="center" vertical="center" wrapText="1"/>
    </xf>
    <xf numFmtId="170" fontId="4" fillId="0" borderId="3" xfId="24" applyNumberFormat="1" applyFont="1" applyFill="1" applyBorder="1" applyAlignment="1">
      <alignment horizontal="right" vertical="center" wrapText="1"/>
    </xf>
    <xf numFmtId="170" fontId="4" fillId="0" borderId="3" xfId="121" applyNumberFormat="1" applyFont="1" applyFill="1" applyBorder="1" applyAlignment="1">
      <alignment horizontal="center" vertical="center" wrapText="1"/>
    </xf>
    <xf numFmtId="49" fontId="4" fillId="0" borderId="3" xfId="86" applyNumberFormat="1" applyFont="1" applyFill="1" applyBorder="1" applyAlignment="1">
      <alignment horizontal="center" vertical="center" wrapText="1"/>
    </xf>
    <xf numFmtId="3" fontId="4" fillId="0" borderId="3" xfId="151" applyNumberFormat="1" applyFont="1" applyFill="1" applyBorder="1" applyAlignment="1">
      <alignment horizontal="right" vertical="center"/>
    </xf>
    <xf numFmtId="3" fontId="11" fillId="0" borderId="3" xfId="156" applyNumberFormat="1" applyFont="1" applyFill="1" applyBorder="1" applyAlignment="1">
      <alignment horizontal="right" vertical="center" wrapText="1"/>
    </xf>
    <xf numFmtId="3" fontId="4" fillId="0" borderId="3" xfId="129" applyNumberFormat="1" applyFont="1" applyFill="1" applyBorder="1" applyAlignment="1">
      <alignment horizontal="left" vertical="center" wrapText="1"/>
    </xf>
    <xf numFmtId="3" fontId="11" fillId="0" borderId="3" xfId="87" applyNumberFormat="1" applyFont="1" applyFill="1" applyBorder="1" applyAlignment="1">
      <alignment horizontal="center" vertical="center" wrapText="1"/>
    </xf>
    <xf numFmtId="0" fontId="4" fillId="2" borderId="0" xfId="124" applyFont="1" applyFill="1" applyAlignment="1">
      <alignment horizontal="center" vertical="center"/>
    </xf>
    <xf numFmtId="1" fontId="9" fillId="2" borderId="0" xfId="86" applyNumberFormat="1" applyFont="1" applyFill="1" applyAlignment="1">
      <alignment horizontal="left" vertical="center" wrapText="1"/>
    </xf>
    <xf numFmtId="1" fontId="9" fillId="2" borderId="0" xfId="86" applyNumberFormat="1" applyFont="1" applyFill="1" applyAlignment="1">
      <alignment horizontal="center" vertical="center" wrapText="1"/>
    </xf>
    <xf numFmtId="3" fontId="9" fillId="2" borderId="0" xfId="86" applyNumberFormat="1" applyFont="1" applyFill="1" applyAlignment="1">
      <alignment horizontal="center" vertical="center" wrapText="1"/>
    </xf>
    <xf numFmtId="3" fontId="9" fillId="2" borderId="0" xfId="86" applyNumberFormat="1" applyFont="1" applyFill="1" applyAlignment="1">
      <alignment horizontal="right" vertical="center" wrapText="1"/>
    </xf>
    <xf numFmtId="0" fontId="4" fillId="2" borderId="0" xfId="0" applyFont="1" applyFill="1"/>
    <xf numFmtId="0" fontId="4" fillId="2" borderId="0" xfId="0" applyFont="1" applyFill="1" applyAlignment="1">
      <alignment horizontal="center" vertical="center"/>
    </xf>
    <xf numFmtId="1" fontId="8" fillId="2" borderId="3" xfId="86" applyNumberFormat="1" applyFont="1" applyFill="1" applyBorder="1" applyAlignment="1">
      <alignment horizontal="center" vertical="center" wrapText="1"/>
    </xf>
    <xf numFmtId="3" fontId="8" fillId="2" borderId="3" xfId="87" applyNumberFormat="1" applyFont="1" applyFill="1" applyBorder="1" applyAlignment="1">
      <alignment horizontal="center" vertical="center" wrapText="1"/>
    </xf>
    <xf numFmtId="3" fontId="11" fillId="2" borderId="3" xfId="87" applyNumberFormat="1" applyFont="1" applyFill="1" applyBorder="1" applyAlignment="1">
      <alignment horizontal="center" vertical="center" wrapText="1"/>
    </xf>
    <xf numFmtId="0" fontId="9" fillId="2" borderId="0" xfId="0" applyFont="1" applyFill="1" applyAlignment="1">
      <alignment horizontal="center" vertical="center"/>
    </xf>
    <xf numFmtId="3" fontId="119" fillId="2" borderId="3" xfId="86" applyNumberFormat="1" applyFont="1" applyFill="1" applyBorder="1" applyAlignment="1">
      <alignment horizontal="right" vertical="center" wrapText="1"/>
    </xf>
    <xf numFmtId="3" fontId="119" fillId="2" borderId="3" xfId="86" applyNumberFormat="1" applyFont="1" applyFill="1" applyBorder="1" applyAlignment="1">
      <alignment horizontal="center" vertical="center" wrapText="1"/>
    </xf>
    <xf numFmtId="3" fontId="119" fillId="2" borderId="5" xfId="87" applyNumberFormat="1" applyFont="1" applyFill="1" applyBorder="1" applyAlignment="1">
      <alignment horizontal="right" vertical="center" wrapText="1"/>
    </xf>
    <xf numFmtId="0" fontId="141" fillId="2" borderId="0" xfId="0" applyFont="1" applyFill="1" applyAlignment="1">
      <alignment horizontal="right" vertical="center"/>
    </xf>
    <xf numFmtId="3" fontId="141" fillId="2" borderId="0" xfId="0" applyNumberFormat="1" applyFont="1" applyFill="1" applyAlignment="1">
      <alignment horizontal="right" vertical="center"/>
    </xf>
    <xf numFmtId="3" fontId="8" fillId="2" borderId="3" xfId="86" quotePrefix="1" applyNumberFormat="1" applyFont="1" applyFill="1" applyBorder="1" applyAlignment="1">
      <alignment horizontal="center" vertical="center" wrapText="1"/>
    </xf>
    <xf numFmtId="3" fontId="8" fillId="2" borderId="3" xfId="86" applyNumberFormat="1" applyFont="1" applyFill="1" applyBorder="1" applyAlignment="1">
      <alignment horizontal="left" vertical="center" wrapText="1"/>
    </xf>
    <xf numFmtId="3" fontId="8" fillId="2" borderId="3" xfId="86" quotePrefix="1" applyNumberFormat="1" applyFont="1" applyFill="1" applyBorder="1" applyAlignment="1">
      <alignment horizontal="right" vertical="center" wrapText="1"/>
    </xf>
    <xf numFmtId="3" fontId="8" fillId="2" borderId="3" xfId="0" applyNumberFormat="1" applyFont="1" applyFill="1" applyBorder="1" applyAlignment="1">
      <alignment horizontal="center" vertical="center" wrapText="1"/>
    </xf>
    <xf numFmtId="3" fontId="71" fillId="2" borderId="0" xfId="0" applyNumberFormat="1" applyFont="1" applyFill="1" applyAlignment="1">
      <alignment vertical="center" wrapText="1"/>
    </xf>
    <xf numFmtId="0" fontId="71" fillId="2" borderId="0" xfId="0" applyFont="1" applyFill="1" applyAlignment="1">
      <alignment vertical="center" wrapText="1"/>
    </xf>
    <xf numFmtId="3" fontId="11" fillId="2" borderId="3" xfId="86" applyNumberFormat="1" applyFont="1" applyFill="1" applyBorder="1" applyAlignment="1">
      <alignment horizontal="left" vertical="center" wrapText="1"/>
    </xf>
    <xf numFmtId="3" fontId="11" fillId="2" borderId="7" xfId="86" quotePrefix="1" applyNumberFormat="1" applyFont="1" applyFill="1" applyBorder="1" applyAlignment="1">
      <alignment horizontal="right" vertical="center" wrapText="1"/>
    </xf>
    <xf numFmtId="3" fontId="9" fillId="2" borderId="3" xfId="86" applyNumberFormat="1" applyFont="1" applyFill="1" applyBorder="1" applyAlignment="1">
      <alignment horizontal="left" vertical="center" wrapText="1"/>
    </xf>
    <xf numFmtId="3" fontId="4" fillId="2" borderId="3" xfId="86" quotePrefix="1" applyNumberFormat="1" applyFont="1" applyFill="1" applyBorder="1" applyAlignment="1">
      <alignment horizontal="center" vertical="center" wrapText="1"/>
    </xf>
    <xf numFmtId="170" fontId="4" fillId="2" borderId="3" xfId="7" applyNumberFormat="1" applyFont="1" applyFill="1" applyBorder="1" applyAlignment="1">
      <alignment horizontal="right" vertical="center" wrapText="1"/>
    </xf>
    <xf numFmtId="170" fontId="4" fillId="2" borderId="3" xfId="7" applyNumberFormat="1" applyFont="1" applyFill="1" applyBorder="1" applyAlignment="1">
      <alignment vertical="center" wrapText="1"/>
    </xf>
    <xf numFmtId="3" fontId="128" fillId="2" borderId="0" xfId="0" applyNumberFormat="1" applyFont="1" applyFill="1" applyAlignment="1">
      <alignment vertical="center" wrapText="1"/>
    </xf>
    <xf numFmtId="0" fontId="128" fillId="2" borderId="0" xfId="0" applyFont="1" applyFill="1" applyAlignment="1">
      <alignment vertical="center" wrapText="1"/>
    </xf>
    <xf numFmtId="0" fontId="4" fillId="2" borderId="2" xfId="0" applyFont="1" applyFill="1" applyBorder="1" applyAlignment="1">
      <alignment horizontal="center" vertical="center" wrapText="1"/>
    </xf>
    <xf numFmtId="3" fontId="4" fillId="2" borderId="3" xfId="126" applyNumberFormat="1" applyFont="1" applyFill="1" applyBorder="1" applyAlignment="1">
      <alignment horizontal="center" vertical="center" wrapText="1"/>
    </xf>
    <xf numFmtId="170" fontId="4" fillId="2" borderId="3" xfId="116" applyNumberFormat="1" applyFont="1" applyFill="1" applyBorder="1" applyAlignment="1">
      <alignment horizontal="right" vertical="center" wrapText="1"/>
    </xf>
    <xf numFmtId="170" fontId="4" fillId="2" borderId="3" xfId="0" applyNumberFormat="1" applyFont="1" applyFill="1" applyBorder="1" applyAlignment="1">
      <alignment horizontal="center" vertical="center" wrapText="1"/>
    </xf>
    <xf numFmtId="170" fontId="4" fillId="2" borderId="3" xfId="122" applyNumberFormat="1" applyFont="1" applyFill="1" applyBorder="1" applyAlignment="1">
      <alignment horizontal="right" vertical="center"/>
    </xf>
    <xf numFmtId="3" fontId="4" fillId="2" borderId="3" xfId="86" applyNumberFormat="1" applyFont="1" applyFill="1" applyBorder="1" applyAlignment="1">
      <alignment vertical="center" wrapText="1"/>
    </xf>
    <xf numFmtId="0" fontId="71" fillId="2" borderId="0" xfId="0" applyFont="1" applyFill="1" applyAlignment="1">
      <alignment horizontal="center" vertical="center" wrapText="1"/>
    </xf>
    <xf numFmtId="0" fontId="128" fillId="2" borderId="0" xfId="0" applyFont="1" applyFill="1" applyAlignment="1">
      <alignment horizontal="center" vertical="center" wrapText="1"/>
    </xf>
    <xf numFmtId="170" fontId="128" fillId="2" borderId="0" xfId="0" applyNumberFormat="1" applyFont="1" applyFill="1" applyAlignment="1">
      <alignment horizontal="center" vertical="center" wrapText="1"/>
    </xf>
    <xf numFmtId="0" fontId="11" fillId="2" borderId="3" xfId="0" applyFont="1" applyFill="1" applyBorder="1" applyAlignment="1">
      <alignment horizontal="left" vertical="center" wrapText="1"/>
    </xf>
    <xf numFmtId="170" fontId="11" fillId="2" borderId="3" xfId="7" applyNumberFormat="1" applyFont="1" applyFill="1" applyBorder="1" applyAlignment="1">
      <alignment horizontal="right" vertical="center" wrapText="1"/>
    </xf>
    <xf numFmtId="170" fontId="128" fillId="2" borderId="0" xfId="0" applyNumberFormat="1" applyFont="1" applyFill="1" applyAlignment="1">
      <alignment vertical="center" wrapText="1"/>
    </xf>
    <xf numFmtId="170" fontId="4" fillId="2" borderId="3" xfId="0" applyNumberFormat="1" applyFont="1" applyFill="1" applyBorder="1" applyAlignment="1">
      <alignment vertical="center" wrapText="1"/>
    </xf>
    <xf numFmtId="0" fontId="4" fillId="2" borderId="3" xfId="66" applyFont="1" applyFill="1" applyBorder="1" applyAlignment="1">
      <alignment horizontal="left" vertical="center" wrapText="1"/>
    </xf>
    <xf numFmtId="0" fontId="4" fillId="2" borderId="3" xfId="0" applyFont="1" applyFill="1" applyBorder="1" applyAlignment="1">
      <alignment horizontal="center" vertical="center"/>
    </xf>
    <xf numFmtId="170" fontId="4" fillId="2" borderId="3" xfId="1"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128" fillId="2" borderId="0" xfId="0" applyFont="1" applyFill="1"/>
    <xf numFmtId="1" fontId="4" fillId="2" borderId="3" xfId="86" quotePrefix="1" applyNumberFormat="1" applyFont="1" applyFill="1" applyBorder="1" applyAlignment="1">
      <alignment horizontal="center" vertical="center" wrapText="1"/>
    </xf>
    <xf numFmtId="3" fontId="4" fillId="2" borderId="5" xfId="86" applyNumberFormat="1" applyFont="1" applyFill="1" applyBorder="1" applyAlignment="1">
      <alignment vertical="center" wrapText="1"/>
    </xf>
    <xf numFmtId="3" fontId="4" fillId="2" borderId="5" xfId="86" applyNumberFormat="1" applyFont="1" applyFill="1" applyBorder="1" applyAlignment="1">
      <alignment horizontal="center" vertical="center" wrapText="1"/>
    </xf>
    <xf numFmtId="3" fontId="11" fillId="2" borderId="3" xfId="126" applyNumberFormat="1" applyFont="1" applyFill="1" applyBorder="1" applyAlignment="1">
      <alignment vertical="center" wrapText="1"/>
    </xf>
    <xf numFmtId="3" fontId="4" fillId="2" borderId="3" xfId="86" applyNumberFormat="1" applyFont="1" applyFill="1" applyBorder="1" applyAlignment="1">
      <alignment horizontal="right" vertical="center" wrapText="1"/>
    </xf>
    <xf numFmtId="3" fontId="4" fillId="2" borderId="3" xfId="116" applyNumberFormat="1" applyFont="1" applyFill="1" applyBorder="1" applyAlignment="1">
      <alignment vertical="center" wrapText="1"/>
    </xf>
    <xf numFmtId="3" fontId="11" fillId="2" borderId="3" xfId="126"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3" fontId="8" fillId="2" borderId="3" xfId="126" applyNumberFormat="1" applyFont="1" applyFill="1" applyBorder="1" applyAlignment="1">
      <alignment horizontal="center" vertical="center" wrapText="1"/>
    </xf>
    <xf numFmtId="170" fontId="8" fillId="2" borderId="3" xfId="0" applyNumberFormat="1" applyFont="1" applyFill="1" applyBorder="1" applyAlignment="1">
      <alignment horizontal="center" vertical="center" wrapText="1"/>
    </xf>
    <xf numFmtId="3" fontId="8" fillId="2" borderId="3" xfId="86" applyNumberFormat="1" applyFont="1" applyFill="1" applyBorder="1" applyAlignment="1">
      <alignment horizontal="center" vertical="center" wrapText="1"/>
    </xf>
    <xf numFmtId="170" fontId="11" fillId="2" borderId="3" xfId="116" applyNumberFormat="1" applyFont="1" applyFill="1" applyBorder="1" applyAlignment="1">
      <alignment horizontal="right" vertical="center" wrapText="1"/>
    </xf>
    <xf numFmtId="3" fontId="128" fillId="2" borderId="0" xfId="0" applyNumberFormat="1" applyFont="1" applyFill="1" applyAlignment="1">
      <alignment horizontal="center" vertical="center" wrapText="1"/>
    </xf>
    <xf numFmtId="170" fontId="11" fillId="2" borderId="7" xfId="7" applyNumberFormat="1" applyFont="1" applyFill="1" applyBorder="1" applyAlignment="1">
      <alignment horizontal="righ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170" fontId="8" fillId="2" borderId="3" xfId="7" applyNumberFormat="1" applyFont="1" applyFill="1" applyBorder="1" applyAlignment="1">
      <alignment horizontal="right" vertical="center" wrapText="1"/>
    </xf>
    <xf numFmtId="3" fontId="11" fillId="2" borderId="9" xfId="126" applyNumberFormat="1" applyFont="1" applyFill="1" applyBorder="1" applyAlignment="1">
      <alignment horizontal="left" vertical="center" wrapText="1"/>
    </xf>
    <xf numFmtId="0" fontId="8" fillId="2" borderId="11" xfId="0" applyFont="1" applyFill="1" applyBorder="1" applyAlignment="1">
      <alignment horizontal="center" vertical="center" wrapText="1"/>
    </xf>
    <xf numFmtId="0" fontId="4" fillId="2" borderId="7" xfId="0" applyFont="1" applyFill="1" applyBorder="1" applyAlignment="1">
      <alignment vertical="center" wrapText="1"/>
    </xf>
    <xf numFmtId="1" fontId="4" fillId="2" borderId="3" xfId="0" quotePrefix="1" applyNumberFormat="1" applyFont="1" applyFill="1" applyBorder="1" applyAlignment="1">
      <alignment horizontal="center" vertical="center" wrapText="1"/>
    </xf>
    <xf numFmtId="3" fontId="4" fillId="2" borderId="9" xfId="126" applyNumberFormat="1" applyFont="1" applyFill="1" applyBorder="1" applyAlignment="1">
      <alignment horizontal="center" vertical="center" wrapText="1"/>
    </xf>
    <xf numFmtId="3" fontId="4" fillId="2" borderId="3" xfId="0" applyNumberFormat="1" applyFont="1" applyFill="1" applyBorder="1" applyAlignment="1">
      <alignment horizontal="right" vertical="center" wrapText="1"/>
    </xf>
    <xf numFmtId="170" fontId="4" fillId="2" borderId="7" xfId="7" applyNumberFormat="1" applyFont="1" applyFill="1" applyBorder="1" applyAlignment="1">
      <alignment horizontal="right" vertical="center" wrapText="1"/>
    </xf>
    <xf numFmtId="3" fontId="4" fillId="2" borderId="3" xfId="86" applyNumberFormat="1" applyFont="1" applyFill="1" applyBorder="1" applyAlignment="1">
      <alignment horizontal="left" vertical="center" wrapText="1"/>
    </xf>
    <xf numFmtId="3" fontId="4" fillId="2" borderId="3" xfId="0" applyNumberFormat="1" applyFont="1" applyFill="1" applyBorder="1" applyAlignment="1">
      <alignment vertical="center"/>
    </xf>
    <xf numFmtId="0" fontId="4" fillId="2" borderId="3" xfId="0" applyFont="1" applyFill="1" applyBorder="1" applyAlignment="1">
      <alignment horizontal="center"/>
    </xf>
    <xf numFmtId="0" fontId="144" fillId="2" borderId="3" xfId="0" applyFont="1" applyFill="1" applyBorder="1" applyAlignment="1">
      <alignment horizontal="center" vertical="center" wrapText="1"/>
    </xf>
    <xf numFmtId="3" fontId="11" fillId="2" borderId="3" xfId="0" applyNumberFormat="1" applyFont="1" applyFill="1" applyBorder="1" applyAlignment="1">
      <alignment horizontal="right" vertical="center" wrapText="1"/>
    </xf>
    <xf numFmtId="3" fontId="11" fillId="2" borderId="3" xfId="0" applyNumberFormat="1" applyFont="1" applyFill="1" applyBorder="1" applyAlignment="1">
      <alignment horizontal="center" vertical="center" wrapText="1"/>
    </xf>
    <xf numFmtId="3" fontId="11" fillId="2" borderId="7" xfId="0" applyNumberFormat="1" applyFont="1" applyFill="1" applyBorder="1" applyAlignment="1">
      <alignment horizontal="right" vertical="center" wrapText="1"/>
    </xf>
    <xf numFmtId="37" fontId="4" fillId="2" borderId="3" xfId="7" applyNumberFormat="1" applyFont="1" applyFill="1" applyBorder="1" applyAlignment="1">
      <alignment horizontal="right" vertical="center" wrapText="1"/>
    </xf>
    <xf numFmtId="0" fontId="4" fillId="2" borderId="0" xfId="0" applyFont="1" applyFill="1" applyAlignment="1">
      <alignment horizontal="center" vertical="center" wrapText="1"/>
    </xf>
    <xf numFmtId="3" fontId="8" fillId="2" borderId="3" xfId="0" applyNumberFormat="1" applyFont="1" applyFill="1" applyBorder="1" applyAlignment="1">
      <alignment horizontal="right" vertical="center" wrapText="1"/>
    </xf>
    <xf numFmtId="0" fontId="8" fillId="2" borderId="0" xfId="0" applyFont="1" applyFill="1" applyAlignment="1">
      <alignment vertical="center" wrapText="1"/>
    </xf>
    <xf numFmtId="3" fontId="8" fillId="2" borderId="0" xfId="0" applyNumberFormat="1" applyFont="1" applyFill="1" applyAlignment="1">
      <alignment vertical="center" wrapText="1"/>
    </xf>
    <xf numFmtId="0" fontId="4" fillId="2" borderId="0" xfId="0" applyFont="1" applyFill="1" applyAlignment="1">
      <alignment vertical="center" wrapText="1"/>
    </xf>
    <xf numFmtId="1" fontId="4" fillId="2" borderId="3" xfId="86" applyNumberFormat="1" applyFont="1" applyFill="1" applyBorder="1" applyAlignment="1">
      <alignment horizontal="left" vertical="center" wrapText="1"/>
    </xf>
    <xf numFmtId="170" fontId="4" fillId="2" borderId="3" xfId="116" applyNumberFormat="1" applyFont="1" applyFill="1" applyBorder="1" applyAlignment="1">
      <alignment vertical="center" wrapText="1"/>
    </xf>
    <xf numFmtId="0" fontId="145" fillId="2" borderId="0" xfId="0" applyFont="1" applyFill="1"/>
    <xf numFmtId="170" fontId="4" fillId="2" borderId="3" xfId="183" applyNumberFormat="1" applyFont="1" applyFill="1" applyBorder="1" applyAlignment="1">
      <alignment vertical="center" wrapText="1"/>
    </xf>
    <xf numFmtId="3" fontId="11" fillId="2" borderId="3" xfId="86" quotePrefix="1" applyNumberFormat="1"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1" fontId="11" fillId="2" borderId="3" xfId="86" applyNumberFormat="1" applyFont="1" applyFill="1" applyBorder="1" applyAlignment="1">
      <alignment horizontal="center" vertical="center" wrapText="1"/>
    </xf>
    <xf numFmtId="0" fontId="11" fillId="2" borderId="0" xfId="0" applyFont="1" applyFill="1" applyAlignment="1">
      <alignment vertical="center" wrapText="1"/>
    </xf>
    <xf numFmtId="170" fontId="4" fillId="2" borderId="3" xfId="7" quotePrefix="1" applyNumberFormat="1" applyFont="1" applyFill="1" applyBorder="1" applyAlignment="1">
      <alignment horizontal="right" vertical="center" wrapText="1"/>
    </xf>
    <xf numFmtId="170" fontId="11" fillId="2" borderId="3" xfId="116" applyNumberFormat="1" applyFont="1" applyFill="1" applyBorder="1" applyAlignment="1">
      <alignment vertical="center" wrapText="1"/>
    </xf>
    <xf numFmtId="170" fontId="8" fillId="2" borderId="3" xfId="7" applyNumberFormat="1" applyFont="1" applyFill="1" applyBorder="1" applyAlignment="1">
      <alignment horizontal="center" vertical="center" wrapText="1"/>
    </xf>
    <xf numFmtId="170" fontId="4" fillId="2" borderId="3" xfId="116" applyNumberFormat="1" applyFont="1" applyFill="1" applyBorder="1" applyAlignment="1">
      <alignment horizontal="center" vertical="center" wrapText="1"/>
    </xf>
    <xf numFmtId="2" fontId="4" fillId="2" borderId="3" xfId="87" applyNumberFormat="1" applyFont="1" applyFill="1" applyBorder="1" applyAlignment="1">
      <alignment horizontal="center" vertical="center" wrapText="1"/>
    </xf>
    <xf numFmtId="3" fontId="4" fillId="2" borderId="5" xfId="86" quotePrefix="1" applyNumberFormat="1" applyFont="1" applyFill="1" applyBorder="1" applyAlignment="1">
      <alignment horizontal="right" vertical="center" wrapText="1"/>
    </xf>
    <xf numFmtId="192" fontId="4" fillId="2" borderId="3" xfId="124" quotePrefix="1" applyNumberFormat="1" applyFont="1" applyFill="1" applyBorder="1" applyAlignment="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lignment horizontal="right" vertical="center" wrapText="1"/>
    </xf>
    <xf numFmtId="170" fontId="8" fillId="2" borderId="3" xfId="7" applyNumberFormat="1" applyFont="1" applyFill="1" applyBorder="1" applyAlignment="1">
      <alignment vertical="center" wrapText="1"/>
    </xf>
    <xf numFmtId="0" fontId="128" fillId="2" borderId="0" xfId="0" applyFont="1" applyFill="1" applyAlignment="1">
      <alignment horizontal="center"/>
    </xf>
    <xf numFmtId="0" fontId="128" fillId="2" borderId="0" xfId="0" applyFont="1" applyFill="1" applyAlignment="1">
      <alignment horizontal="right"/>
    </xf>
    <xf numFmtId="3" fontId="128" fillId="2" borderId="0" xfId="0" applyNumberFormat="1" applyFont="1" applyFill="1" applyAlignment="1">
      <alignment horizontal="right"/>
    </xf>
    <xf numFmtId="0" fontId="4" fillId="2" borderId="0" xfId="0" applyFont="1" applyFill="1" applyAlignment="1">
      <alignment horizontal="center"/>
    </xf>
    <xf numFmtId="0" fontId="4" fillId="2" borderId="0" xfId="0" applyFont="1" applyFill="1" applyAlignment="1">
      <alignment horizontal="right"/>
    </xf>
    <xf numFmtId="3" fontId="4" fillId="2" borderId="0" xfId="0" applyNumberFormat="1" applyFont="1" applyFill="1" applyAlignment="1">
      <alignment horizontal="right"/>
    </xf>
    <xf numFmtId="0" fontId="4" fillId="0" borderId="0" xfId="0" applyFont="1" applyFill="1" applyBorder="1" applyAlignment="1">
      <alignment vertical="center"/>
    </xf>
    <xf numFmtId="3" fontId="4" fillId="0" borderId="0" xfId="0" applyNumberFormat="1" applyFont="1" applyFill="1" applyBorder="1" applyAlignment="1">
      <alignment vertical="center"/>
    </xf>
    <xf numFmtId="181" fontId="4" fillId="0" borderId="0" xfId="0" applyNumberFormat="1" applyFont="1" applyFill="1" applyAlignment="1">
      <alignment horizontal="left" vertical="center"/>
    </xf>
    <xf numFmtId="3" fontId="4" fillId="0" borderId="0" xfId="0" applyNumberFormat="1" applyFont="1" applyFill="1" applyAlignment="1">
      <alignment vertical="center"/>
    </xf>
    <xf numFmtId="0" fontId="8" fillId="0" borderId="3" xfId="0" applyFont="1" applyFill="1" applyBorder="1" applyAlignment="1">
      <alignment vertical="center"/>
    </xf>
    <xf numFmtId="0" fontId="8" fillId="0" borderId="0" xfId="0" applyFont="1" applyFill="1" applyAlignment="1">
      <alignment vertical="center"/>
    </xf>
    <xf numFmtId="0" fontId="8" fillId="0" borderId="3" xfId="0" applyFont="1" applyFill="1" applyBorder="1" applyAlignment="1">
      <alignment horizontal="center" vertical="center"/>
    </xf>
    <xf numFmtId="3" fontId="4" fillId="0" borderId="0" xfId="0" applyNumberFormat="1" applyFont="1" applyFill="1" applyAlignment="1">
      <alignment horizontal="right" vertical="center"/>
    </xf>
    <xf numFmtId="0" fontId="30" fillId="0" borderId="3" xfId="0" applyFont="1" applyBorder="1" applyAlignment="1">
      <alignment horizontal="center" vertical="center" wrapText="1"/>
    </xf>
    <xf numFmtId="0" fontId="33" fillId="0" borderId="10" xfId="0" applyFont="1" applyBorder="1" applyAlignment="1">
      <alignment horizontal="left" vertical="center" wrapText="1"/>
    </xf>
    <xf numFmtId="0" fontId="29" fillId="0" borderId="0" xfId="0" applyFont="1" applyAlignment="1">
      <alignment horizontal="center" vertical="center" wrapText="1"/>
    </xf>
    <xf numFmtId="0" fontId="73" fillId="0" borderId="1" xfId="0" applyFont="1" applyBorder="1" applyAlignment="1">
      <alignment horizontal="right" vertical="center" wrapText="1"/>
    </xf>
    <xf numFmtId="1" fontId="12" fillId="0" borderId="0" xfId="86" applyNumberFormat="1" applyFont="1" applyAlignment="1">
      <alignment horizontal="center" vertical="center" wrapText="1"/>
    </xf>
    <xf numFmtId="0" fontId="27" fillId="0" borderId="0" xfId="0" applyFont="1" applyAlignment="1">
      <alignment horizontal="left" vertical="center" wrapText="1" readingOrder="1"/>
    </xf>
    <xf numFmtId="0" fontId="24" fillId="0" borderId="0" xfId="0" applyFont="1" applyAlignment="1">
      <alignment horizontal="center" vertical="center" wrapText="1" readingOrder="1"/>
    </xf>
    <xf numFmtId="0" fontId="24" fillId="0" borderId="0" xfId="0" applyFont="1" applyAlignment="1">
      <alignment horizontal="left" vertical="center" wrapText="1" readingOrder="1"/>
    </xf>
    <xf numFmtId="0" fontId="72" fillId="0" borderId="0" xfId="0" applyFont="1" applyAlignment="1">
      <alignment horizontal="right" vertical="center" wrapText="1"/>
    </xf>
    <xf numFmtId="3" fontId="60" fillId="2" borderId="2" xfId="86" applyNumberFormat="1" applyFont="1" applyFill="1" applyBorder="1" applyAlignment="1">
      <alignment horizontal="center" vertical="center" wrapText="1"/>
    </xf>
    <xf numFmtId="3" fontId="60" fillId="2" borderId="5" xfId="86" applyNumberFormat="1" applyFont="1" applyFill="1" applyBorder="1" applyAlignment="1">
      <alignment horizontal="center" vertical="center" wrapText="1"/>
    </xf>
    <xf numFmtId="3" fontId="122" fillId="2" borderId="2" xfId="86" applyNumberFormat="1" applyFont="1" applyFill="1" applyBorder="1" applyAlignment="1">
      <alignment horizontal="center" vertical="center" wrapText="1"/>
    </xf>
    <xf numFmtId="3" fontId="122" fillId="2" borderId="5" xfId="86" applyNumberFormat="1" applyFont="1" applyFill="1" applyBorder="1" applyAlignment="1">
      <alignment horizontal="center" vertical="center" wrapText="1"/>
    </xf>
    <xf numFmtId="3" fontId="122" fillId="2" borderId="2" xfId="86" applyNumberFormat="1" applyFont="1" applyFill="1" applyBorder="1" applyAlignment="1">
      <alignment horizontal="left" vertical="center" wrapText="1"/>
    </xf>
    <xf numFmtId="3" fontId="122" fillId="2" borderId="5" xfId="86" applyNumberFormat="1" applyFont="1" applyFill="1" applyBorder="1" applyAlignment="1">
      <alignment horizontal="left" vertical="center" wrapText="1"/>
    </xf>
    <xf numFmtId="3" fontId="122" fillId="2" borderId="2" xfId="86" quotePrefix="1" applyNumberFormat="1" applyFont="1" applyFill="1" applyBorder="1" applyAlignment="1">
      <alignment horizontal="center" vertical="center" wrapText="1"/>
    </xf>
    <xf numFmtId="3" fontId="122" fillId="2" borderId="5" xfId="86" quotePrefix="1" applyNumberFormat="1" applyFont="1" applyFill="1" applyBorder="1" applyAlignment="1">
      <alignment horizontal="center" vertical="center" wrapText="1"/>
    </xf>
    <xf numFmtId="3" fontId="60" fillId="2" borderId="17" xfId="86" applyNumberFormat="1" applyFont="1" applyFill="1" applyBorder="1" applyAlignment="1">
      <alignment horizontal="center" vertical="center" wrapText="1"/>
    </xf>
    <xf numFmtId="3" fontId="122" fillId="2" borderId="3" xfId="86" applyNumberFormat="1" applyFont="1" applyFill="1" applyBorder="1" applyAlignment="1">
      <alignment horizontal="center" vertical="center" wrapText="1"/>
    </xf>
    <xf numFmtId="0" fontId="60" fillId="2" borderId="3" xfId="0" applyFont="1" applyFill="1" applyBorder="1" applyAlignment="1">
      <alignment horizontal="center" vertical="center" wrapText="1"/>
    </xf>
    <xf numFmtId="0" fontId="123" fillId="2" borderId="7" xfId="0" applyFont="1" applyFill="1" applyBorder="1" applyAlignment="1">
      <alignment horizontal="center" vertical="center" wrapText="1"/>
    </xf>
    <xf numFmtId="0" fontId="123" fillId="2" borderId="9" xfId="0" applyFont="1" applyFill="1" applyBorder="1" applyAlignment="1">
      <alignment horizontal="center" vertical="center" wrapText="1"/>
    </xf>
    <xf numFmtId="0" fontId="124" fillId="2" borderId="5" xfId="0" applyFont="1" applyFill="1" applyBorder="1" applyAlignment="1">
      <alignment horizontal="center" vertical="center" wrapText="1"/>
    </xf>
    <xf numFmtId="0" fontId="131" fillId="2" borderId="5" xfId="0" applyFont="1" applyFill="1" applyBorder="1" applyAlignment="1">
      <alignment horizontal="center" vertical="center" wrapText="1"/>
    </xf>
    <xf numFmtId="0" fontId="122" fillId="2" borderId="2" xfId="0" applyFont="1" applyFill="1" applyBorder="1" applyAlignment="1">
      <alignment horizontal="center" vertical="center" wrapText="1"/>
    </xf>
    <xf numFmtId="1" fontId="122" fillId="2" borderId="0" xfId="86" applyNumberFormat="1" applyFont="1" applyFill="1" applyAlignment="1">
      <alignment horizontal="center" vertical="center" wrapText="1"/>
    </xf>
    <xf numFmtId="1" fontId="59" fillId="2" borderId="0" xfId="86" applyNumberFormat="1" applyFont="1" applyFill="1" applyAlignment="1">
      <alignment horizontal="center" vertical="center" wrapText="1"/>
    </xf>
    <xf numFmtId="1" fontId="59" fillId="2" borderId="1" xfId="86" applyNumberFormat="1" applyFont="1" applyFill="1" applyBorder="1" applyAlignment="1">
      <alignment horizontal="right" vertical="center" wrapText="1"/>
    </xf>
    <xf numFmtId="3" fontId="122" fillId="2" borderId="13" xfId="86" applyNumberFormat="1" applyFont="1" applyFill="1" applyBorder="1" applyAlignment="1">
      <alignment horizontal="center" vertical="center" wrapText="1"/>
    </xf>
    <xf numFmtId="3" fontId="122" fillId="2" borderId="10" xfId="86" applyNumberFormat="1" applyFont="1" applyFill="1" applyBorder="1" applyAlignment="1">
      <alignment horizontal="center" vertical="center" wrapText="1"/>
    </xf>
    <xf numFmtId="3" fontId="122" fillId="2" borderId="11" xfId="86" applyNumberFormat="1" applyFont="1" applyFill="1" applyBorder="1" applyAlignment="1">
      <alignment horizontal="center" vertical="center" wrapText="1"/>
    </xf>
    <xf numFmtId="3" fontId="122" fillId="2" borderId="14" xfId="86" applyNumberFormat="1" applyFont="1" applyFill="1" applyBorder="1" applyAlignment="1">
      <alignment horizontal="center" vertical="center" wrapText="1"/>
    </xf>
    <xf numFmtId="3" fontId="122" fillId="2" borderId="1" xfId="86" applyNumberFormat="1" applyFont="1" applyFill="1" applyBorder="1" applyAlignment="1">
      <alignment horizontal="center" vertical="center" wrapText="1"/>
    </xf>
    <xf numFmtId="3" fontId="122" fillId="2" borderId="6" xfId="86" applyNumberFormat="1" applyFont="1" applyFill="1" applyBorder="1" applyAlignment="1">
      <alignment horizontal="center" vertical="center" wrapText="1"/>
    </xf>
    <xf numFmtId="1" fontId="122" fillId="2" borderId="13" xfId="86" applyNumberFormat="1" applyFont="1" applyFill="1" applyBorder="1" applyAlignment="1">
      <alignment horizontal="center" vertical="center" wrapText="1"/>
    </xf>
    <xf numFmtId="1" fontId="122" fillId="2" borderId="10" xfId="86" applyNumberFormat="1" applyFont="1" applyFill="1" applyBorder="1" applyAlignment="1">
      <alignment horizontal="center" vertical="center" wrapText="1"/>
    </xf>
    <xf numFmtId="1" fontId="122" fillId="2" borderId="11" xfId="86" applyNumberFormat="1" applyFont="1" applyFill="1" applyBorder="1" applyAlignment="1">
      <alignment horizontal="center" vertical="center" wrapText="1"/>
    </xf>
    <xf numFmtId="1" fontId="122" fillId="2" borderId="14" xfId="86" applyNumberFormat="1" applyFont="1" applyFill="1" applyBorder="1" applyAlignment="1">
      <alignment horizontal="center" vertical="center" wrapText="1"/>
    </xf>
    <xf numFmtId="1" fontId="122" fillId="2" borderId="1" xfId="86" applyNumberFormat="1" applyFont="1" applyFill="1" applyBorder="1" applyAlignment="1">
      <alignment horizontal="center" vertical="center" wrapText="1"/>
    </xf>
    <xf numFmtId="1" fontId="122" fillId="2" borderId="6" xfId="86" applyNumberFormat="1" applyFont="1" applyFill="1" applyBorder="1" applyAlignment="1">
      <alignment horizontal="center" vertical="center" wrapText="1"/>
    </xf>
    <xf numFmtId="3" fontId="122" fillId="2" borderId="4" xfId="86" applyNumberFormat="1" applyFont="1" applyFill="1" applyBorder="1" applyAlignment="1">
      <alignment horizontal="center" vertical="center" wrapText="1"/>
    </xf>
    <xf numFmtId="1" fontId="122" fillId="2" borderId="2" xfId="86" applyNumberFormat="1" applyFont="1" applyFill="1" applyBorder="1" applyAlignment="1">
      <alignment horizontal="center" vertical="center" wrapText="1"/>
    </xf>
    <xf numFmtId="1" fontId="122" fillId="2" borderId="4" xfId="86" applyNumberFormat="1" applyFont="1" applyFill="1" applyBorder="1" applyAlignment="1">
      <alignment horizontal="center" vertical="center" wrapText="1"/>
    </xf>
    <xf numFmtId="1" fontId="122" fillId="2" borderId="5" xfId="86" applyNumberFormat="1" applyFont="1" applyFill="1" applyBorder="1" applyAlignment="1">
      <alignment horizontal="center" vertical="center" wrapText="1"/>
    </xf>
    <xf numFmtId="3" fontId="4" fillId="0" borderId="3" xfId="86" applyNumberFormat="1" applyFont="1" applyBorder="1" applyAlignment="1">
      <alignment horizontal="center" vertical="center" wrapText="1"/>
    </xf>
    <xf numFmtId="3" fontId="4" fillId="0" borderId="2" xfId="86" applyNumberFormat="1" applyFont="1" applyBorder="1" applyAlignment="1">
      <alignment horizontal="center" vertical="center" wrapText="1"/>
    </xf>
    <xf numFmtId="3" fontId="4" fillId="0" borderId="4" xfId="86" applyNumberFormat="1" applyFont="1" applyBorder="1" applyAlignment="1">
      <alignment horizontal="center" vertical="center" wrapText="1"/>
    </xf>
    <xf numFmtId="3" fontId="4" fillId="0" borderId="5" xfId="86" applyNumberFormat="1" applyFont="1" applyBorder="1" applyAlignment="1">
      <alignment horizontal="center" vertical="center" wrapText="1"/>
    </xf>
    <xf numFmtId="1" fontId="4" fillId="0" borderId="0" xfId="86" applyNumberFormat="1" applyFont="1" applyAlignment="1">
      <alignment horizontal="center" vertical="center" wrapText="1"/>
    </xf>
    <xf numFmtId="1" fontId="13" fillId="0" borderId="10" xfId="86" applyNumberFormat="1" applyFont="1" applyBorder="1" applyAlignment="1">
      <alignment horizontal="left" vertical="center" wrapText="1"/>
    </xf>
    <xf numFmtId="1" fontId="13" fillId="0" borderId="0" xfId="86" quotePrefix="1" applyNumberFormat="1" applyFont="1" applyAlignment="1">
      <alignment horizontal="left" vertical="center" wrapText="1"/>
    </xf>
    <xf numFmtId="1" fontId="13" fillId="0" borderId="0" xfId="86" applyNumberFormat="1" applyFont="1" applyAlignment="1">
      <alignment horizontal="left" vertical="center" wrapText="1"/>
    </xf>
    <xf numFmtId="1" fontId="4" fillId="0" borderId="0" xfId="86" applyNumberFormat="1" applyFont="1" applyAlignment="1">
      <alignment horizontal="left" vertical="center" wrapText="1"/>
    </xf>
    <xf numFmtId="1" fontId="4" fillId="0" borderId="3" xfId="86" applyNumberFormat="1" applyFont="1" applyBorder="1" applyAlignment="1">
      <alignment horizontal="center" vertical="center"/>
    </xf>
    <xf numFmtId="0" fontId="4" fillId="0" borderId="3" xfId="86" applyFont="1" applyBorder="1" applyAlignment="1">
      <alignment horizontal="center" vertical="center" wrapText="1"/>
    </xf>
    <xf numFmtId="0" fontId="57" fillId="0" borderId="0" xfId="0" applyFont="1" applyAlignment="1">
      <alignment horizontal="center" vertical="center" wrapText="1" readingOrder="1"/>
    </xf>
    <xf numFmtId="1" fontId="22" fillId="0" borderId="0" xfId="86" applyNumberFormat="1" applyFont="1" applyAlignment="1">
      <alignment horizontal="right" vertical="center"/>
    </xf>
    <xf numFmtId="1" fontId="13" fillId="0" borderId="1" xfId="86" applyNumberFormat="1" applyFont="1" applyBorder="1" applyAlignment="1">
      <alignment horizontal="right" vertical="center"/>
    </xf>
    <xf numFmtId="1" fontId="9" fillId="0" borderId="10" xfId="86" applyNumberFormat="1" applyFont="1" applyBorder="1" applyAlignment="1">
      <alignment horizontal="left" vertical="center" wrapText="1"/>
    </xf>
    <xf numFmtId="49" fontId="4" fillId="0" borderId="3" xfId="86" applyNumberFormat="1" applyFont="1" applyBorder="1" applyAlignment="1">
      <alignment horizontal="center" vertical="center" wrapText="1"/>
    </xf>
    <xf numFmtId="0" fontId="64" fillId="0" borderId="3" xfId="58" applyFont="1" applyBorder="1" applyAlignment="1">
      <alignment horizontal="center" vertical="center" wrapText="1"/>
    </xf>
    <xf numFmtId="1" fontId="21" fillId="0" borderId="0" xfId="86" applyNumberFormat="1" applyFont="1" applyAlignment="1">
      <alignment horizontal="center" vertical="center" wrapText="1"/>
    </xf>
    <xf numFmtId="1" fontId="38" fillId="0" borderId="1" xfId="86" applyNumberFormat="1" applyFont="1" applyBorder="1" applyAlignment="1">
      <alignment horizontal="right" vertical="center"/>
    </xf>
    <xf numFmtId="1" fontId="56" fillId="0" borderId="0" xfId="86" applyNumberFormat="1" applyFont="1" applyAlignment="1">
      <alignment horizontal="right" vertical="center"/>
    </xf>
    <xf numFmtId="1" fontId="4" fillId="0" borderId="3" xfId="86" applyNumberFormat="1" applyFont="1" applyBorder="1" applyAlignment="1">
      <alignment horizontal="center" vertical="center" wrapText="1"/>
    </xf>
    <xf numFmtId="1" fontId="9" fillId="0" borderId="0" xfId="86" applyNumberFormat="1" applyFont="1" applyAlignment="1">
      <alignment horizontal="left" vertical="center" wrapText="1"/>
    </xf>
    <xf numFmtId="0" fontId="30" fillId="0" borderId="3" xfId="58" applyFont="1" applyBorder="1" applyAlignment="1">
      <alignment horizontal="center" vertical="center" wrapText="1"/>
    </xf>
    <xf numFmtId="1" fontId="38" fillId="0" borderId="0" xfId="86" applyNumberFormat="1" applyFont="1" applyAlignment="1">
      <alignment horizontal="right" vertical="center"/>
    </xf>
    <xf numFmtId="3" fontId="4" fillId="2" borderId="3" xfId="86" applyNumberFormat="1" applyFont="1" applyFill="1" applyBorder="1" applyAlignment="1">
      <alignment horizontal="center" vertical="center" wrapText="1"/>
    </xf>
    <xf numFmtId="3" fontId="4" fillId="0" borderId="13" xfId="86" applyNumberFormat="1" applyFont="1" applyBorder="1" applyAlignment="1">
      <alignment horizontal="center" vertical="center" wrapText="1"/>
    </xf>
    <xf numFmtId="3" fontId="4" fillId="0" borderId="14" xfId="86" applyNumberFormat="1" applyFont="1" applyBorder="1" applyAlignment="1">
      <alignment horizontal="center" vertical="center" wrapText="1"/>
    </xf>
    <xf numFmtId="49" fontId="4" fillId="0" borderId="2" xfId="86" applyNumberFormat="1" applyFont="1" applyBorder="1" applyAlignment="1">
      <alignment horizontal="center" vertical="center" wrapText="1"/>
    </xf>
    <xf numFmtId="49" fontId="4" fillId="0" borderId="4" xfId="86" applyNumberFormat="1" applyFont="1" applyBorder="1" applyAlignment="1">
      <alignment horizontal="center" vertical="center" wrapText="1"/>
    </xf>
    <xf numFmtId="49" fontId="4" fillId="0" borderId="5" xfId="86" applyNumberFormat="1" applyFont="1" applyBorder="1" applyAlignment="1">
      <alignment horizontal="center" vertical="center" wrapText="1"/>
    </xf>
    <xf numFmtId="1" fontId="17" fillId="0" borderId="0" xfId="86" applyNumberFormat="1" applyFont="1" applyAlignment="1">
      <alignment horizontal="center" vertical="center" wrapText="1"/>
    </xf>
    <xf numFmtId="1" fontId="18" fillId="0" borderId="1" xfId="86" applyNumberFormat="1" applyFont="1" applyBorder="1" applyAlignment="1">
      <alignment horizontal="right" vertical="center"/>
    </xf>
    <xf numFmtId="1" fontId="50" fillId="0" borderId="7" xfId="86" applyNumberFormat="1" applyFont="1" applyBorder="1" applyAlignment="1">
      <alignment horizontal="center" vertical="center"/>
    </xf>
    <xf numFmtId="1" fontId="50" fillId="0" borderId="8" xfId="86" applyNumberFormat="1" applyFont="1" applyBorder="1" applyAlignment="1">
      <alignment horizontal="center" vertical="center"/>
    </xf>
    <xf numFmtId="1" fontId="50" fillId="0" borderId="9" xfId="86" applyNumberFormat="1" applyFont="1" applyBorder="1" applyAlignment="1">
      <alignment horizontal="center" vertical="center"/>
    </xf>
    <xf numFmtId="3" fontId="4" fillId="0" borderId="9" xfId="86" applyNumberFormat="1" applyFont="1" applyBorder="1" applyAlignment="1">
      <alignment horizontal="center" vertical="center" wrapText="1"/>
    </xf>
    <xf numFmtId="3" fontId="4" fillId="0" borderId="7" xfId="86" applyNumberFormat="1" applyFont="1" applyBorder="1" applyAlignment="1">
      <alignment horizontal="center" vertical="center" wrapText="1"/>
    </xf>
    <xf numFmtId="3" fontId="4" fillId="0" borderId="8" xfId="86" applyNumberFormat="1" applyFont="1" applyBorder="1" applyAlignment="1">
      <alignment horizontal="center" vertical="center" wrapText="1"/>
    </xf>
    <xf numFmtId="1" fontId="52" fillId="0" borderId="0" xfId="86" applyNumberFormat="1" applyFont="1" applyAlignment="1">
      <alignment horizontal="right" vertical="center"/>
    </xf>
    <xf numFmtId="3" fontId="12" fillId="2" borderId="3" xfId="86" applyNumberFormat="1" applyFont="1" applyFill="1" applyBorder="1" applyAlignment="1">
      <alignment horizontal="center" vertical="center" wrapText="1"/>
    </xf>
    <xf numFmtId="3" fontId="12" fillId="2" borderId="7" xfId="86" applyNumberFormat="1" applyFont="1" applyFill="1" applyBorder="1" applyAlignment="1">
      <alignment horizontal="center" vertical="center" wrapText="1"/>
    </xf>
    <xf numFmtId="3" fontId="12" fillId="2" borderId="8" xfId="86" applyNumberFormat="1" applyFont="1" applyFill="1" applyBorder="1" applyAlignment="1">
      <alignment horizontal="center" vertical="center" wrapText="1"/>
    </xf>
    <xf numFmtId="3" fontId="12" fillId="2" borderId="9" xfId="86" applyNumberFormat="1" applyFont="1" applyFill="1" applyBorder="1" applyAlignment="1">
      <alignment horizontal="center" vertical="center" wrapText="1"/>
    </xf>
    <xf numFmtId="3" fontId="12" fillId="2" borderId="13" xfId="86" applyNumberFormat="1" applyFont="1" applyFill="1" applyBorder="1" applyAlignment="1">
      <alignment horizontal="center" vertical="center" wrapText="1"/>
    </xf>
    <xf numFmtId="3" fontId="12" fillId="2" borderId="10" xfId="86" applyNumberFormat="1" applyFont="1" applyFill="1" applyBorder="1" applyAlignment="1">
      <alignment horizontal="center" vertical="center" wrapText="1"/>
    </xf>
    <xf numFmtId="3" fontId="12" fillId="2" borderId="11" xfId="86" applyNumberFormat="1" applyFont="1" applyFill="1" applyBorder="1" applyAlignment="1">
      <alignment horizontal="center" vertical="center" wrapText="1"/>
    </xf>
    <xf numFmtId="3" fontId="12" fillId="2" borderId="14" xfId="86" applyNumberFormat="1" applyFont="1" applyFill="1" applyBorder="1" applyAlignment="1">
      <alignment horizontal="center" vertical="center" wrapText="1"/>
    </xf>
    <xf numFmtId="3" fontId="12" fillId="2" borderId="1" xfId="86" applyNumberFormat="1" applyFont="1" applyFill="1" applyBorder="1" applyAlignment="1">
      <alignment horizontal="center" vertical="center" wrapText="1"/>
    </xf>
    <xf numFmtId="3" fontId="12" fillId="2" borderId="6" xfId="86" applyNumberFormat="1" applyFont="1" applyFill="1" applyBorder="1" applyAlignment="1">
      <alignment horizontal="center" vertical="center" wrapText="1"/>
    </xf>
    <xf numFmtId="1" fontId="12" fillId="2" borderId="0" xfId="86" applyNumberFormat="1" applyFont="1" applyFill="1" applyAlignment="1">
      <alignment horizontal="center" vertical="center" wrapText="1"/>
    </xf>
    <xf numFmtId="1" fontId="13" fillId="2" borderId="0" xfId="86" applyNumberFormat="1" applyFont="1" applyFill="1" applyAlignment="1">
      <alignment horizontal="center" vertical="center" wrapText="1"/>
    </xf>
    <xf numFmtId="1" fontId="13" fillId="2" borderId="1" xfId="86" applyNumberFormat="1" applyFont="1" applyFill="1" applyBorder="1" applyAlignment="1">
      <alignment horizontal="right" vertical="center" wrapText="1"/>
    </xf>
    <xf numFmtId="3" fontId="22" fillId="2" borderId="3" xfId="86" applyNumberFormat="1" applyFont="1" applyFill="1" applyBorder="1" applyAlignment="1">
      <alignment horizontal="center" vertical="center" wrapText="1"/>
    </xf>
    <xf numFmtId="0" fontId="13" fillId="0" borderId="10" xfId="86" applyFont="1" applyBorder="1" applyAlignment="1">
      <alignment horizontal="left" vertical="center"/>
    </xf>
    <xf numFmtId="0" fontId="13" fillId="0" borderId="0" xfId="86" quotePrefix="1" applyFont="1" applyAlignment="1">
      <alignment horizontal="left" vertical="center" wrapText="1"/>
    </xf>
    <xf numFmtId="0" fontId="13" fillId="0" borderId="0" xfId="86" applyFont="1" applyAlignment="1">
      <alignment horizontal="left" vertical="center" wrapText="1"/>
    </xf>
    <xf numFmtId="49" fontId="13" fillId="0" borderId="0" xfId="86" applyNumberFormat="1" applyFont="1" applyAlignment="1">
      <alignment horizontal="left" vertical="center"/>
    </xf>
    <xf numFmtId="3" fontId="4" fillId="0" borderId="10" xfId="86" applyNumberFormat="1" applyFont="1" applyBorder="1" applyAlignment="1">
      <alignment horizontal="center" vertical="center" wrapText="1"/>
    </xf>
    <xf numFmtId="3" fontId="4" fillId="0" borderId="11" xfId="86" applyNumberFormat="1" applyFont="1" applyBorder="1" applyAlignment="1">
      <alignment horizontal="center" vertical="center" wrapText="1"/>
    </xf>
    <xf numFmtId="0" fontId="58" fillId="0" borderId="0" xfId="0" applyFont="1" applyAlignment="1">
      <alignment horizontal="left" vertical="center" wrapText="1" readingOrder="1"/>
    </xf>
    <xf numFmtId="0" fontId="57" fillId="0" borderId="0" xfId="0" applyFont="1" applyAlignment="1">
      <alignment horizontal="left" vertical="center" wrapText="1" readingOrder="1"/>
    </xf>
    <xf numFmtId="3" fontId="6" fillId="0" borderId="3" xfId="86" applyNumberFormat="1" applyFont="1" applyBorder="1" applyAlignment="1">
      <alignment horizontal="center" vertical="center" wrapText="1"/>
    </xf>
    <xf numFmtId="0" fontId="6" fillId="0" borderId="3" xfId="0" applyFont="1" applyBorder="1" applyAlignment="1">
      <alignment horizontal="center" vertical="center" wrapText="1"/>
    </xf>
    <xf numFmtId="3" fontId="6" fillId="0" borderId="2" xfId="86" applyNumberFormat="1" applyFont="1" applyBorder="1" applyAlignment="1">
      <alignment horizontal="center" vertical="center" wrapText="1"/>
    </xf>
    <xf numFmtId="3" fontId="6" fillId="0" borderId="4" xfId="86" applyNumberFormat="1" applyFont="1" applyBorder="1" applyAlignment="1">
      <alignment horizontal="center" vertical="center" wrapText="1"/>
    </xf>
    <xf numFmtId="3" fontId="6" fillId="0" borderId="5" xfId="86" applyNumberFormat="1" applyFont="1" applyBorder="1" applyAlignment="1">
      <alignment horizontal="center" vertical="center" wrapText="1"/>
    </xf>
    <xf numFmtId="1" fontId="8" fillId="0" borderId="0" xfId="86" applyNumberFormat="1" applyFont="1" applyAlignment="1">
      <alignment horizontal="center" vertical="center" wrapText="1"/>
    </xf>
    <xf numFmtId="1" fontId="9" fillId="0" borderId="1" xfId="86" applyNumberFormat="1" applyFont="1" applyBorder="1" applyAlignment="1">
      <alignment horizontal="right" vertical="center"/>
    </xf>
    <xf numFmtId="1" fontId="6" fillId="0" borderId="3" xfId="86" applyNumberFormat="1" applyFont="1" applyBorder="1" applyAlignment="1">
      <alignment horizontal="center" vertical="center"/>
    </xf>
    <xf numFmtId="1" fontId="11" fillId="0" borderId="0" xfId="86" applyNumberFormat="1" applyFont="1" applyAlignment="1">
      <alignment horizontal="right" vertical="center"/>
    </xf>
    <xf numFmtId="0" fontId="42" fillId="0" borderId="3" xfId="53" applyFont="1" applyBorder="1" applyAlignment="1">
      <alignment horizontal="center" vertical="center" wrapText="1" readingOrder="1"/>
    </xf>
    <xf numFmtId="0" fontId="42" fillId="0" borderId="2" xfId="53" applyFont="1" applyBorder="1" applyAlignment="1">
      <alignment horizontal="center" vertical="center" wrapText="1" readingOrder="1"/>
    </xf>
    <xf numFmtId="0" fontId="42" fillId="0" borderId="5" xfId="53" applyFont="1" applyBorder="1" applyAlignment="1">
      <alignment horizontal="center" vertical="center" wrapText="1" readingOrder="1"/>
    </xf>
    <xf numFmtId="0" fontId="42" fillId="0" borderId="4" xfId="53" applyFont="1" applyBorder="1" applyAlignment="1">
      <alignment horizontal="center" vertical="center" wrapText="1" readingOrder="1"/>
    </xf>
    <xf numFmtId="0" fontId="42" fillId="0" borderId="7" xfId="53" applyFont="1" applyBorder="1" applyAlignment="1">
      <alignment horizontal="center" vertical="center" wrapText="1" readingOrder="1"/>
    </xf>
    <xf numFmtId="0" fontId="42" fillId="0" borderId="8" xfId="53" applyFont="1" applyBorder="1" applyAlignment="1">
      <alignment horizontal="center" vertical="center" wrapText="1" readingOrder="1"/>
    </xf>
    <xf numFmtId="0" fontId="42" fillId="0" borderId="9" xfId="53" applyFont="1" applyBorder="1" applyAlignment="1">
      <alignment horizontal="center" vertical="center" wrapText="1" readingOrder="1"/>
    </xf>
    <xf numFmtId="0" fontId="44" fillId="0" borderId="0" xfId="53" applyFont="1" applyAlignment="1">
      <alignment horizontal="center" vertical="center" wrapText="1" readingOrder="1"/>
    </xf>
    <xf numFmtId="0" fontId="24" fillId="0" borderId="0" xfId="53" applyFont="1" applyAlignment="1">
      <alignment horizontal="center" vertical="center" wrapText="1" readingOrder="1"/>
    </xf>
    <xf numFmtId="0" fontId="45" fillId="0" borderId="0" xfId="53" applyFont="1" applyAlignment="1">
      <alignment horizontal="right" vertical="center" wrapText="1" readingOrder="1"/>
    </xf>
    <xf numFmtId="0" fontId="24" fillId="0" borderId="1" xfId="53" applyFont="1" applyBorder="1" applyAlignment="1">
      <alignment horizontal="right" vertical="center" wrapText="1" readingOrder="1"/>
    </xf>
    <xf numFmtId="0" fontId="30" fillId="0" borderId="1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6" fillId="0" borderId="0" xfId="0" applyFont="1" applyAlignment="1">
      <alignment horizontal="center" vertical="center" wrapText="1"/>
    </xf>
    <xf numFmtId="0" fontId="37" fillId="0" borderId="1" xfId="0" applyFont="1" applyBorder="1" applyAlignment="1">
      <alignment horizontal="right"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9" fillId="0" borderId="0" xfId="0" applyFont="1" applyAlignment="1">
      <alignment horizontal="left" vertical="center" wrapText="1" readingOrder="1"/>
    </xf>
    <xf numFmtId="0" fontId="34" fillId="0" borderId="0" xfId="0" applyFont="1" applyAlignment="1">
      <alignment horizontal="center" vertical="center" wrapText="1" readingOrder="1"/>
    </xf>
    <xf numFmtId="0" fontId="34" fillId="0" borderId="0" xfId="0" applyFont="1" applyAlignment="1">
      <alignment horizontal="left" vertical="center" wrapText="1" readingOrder="1"/>
    </xf>
    <xf numFmtId="0" fontId="35" fillId="0" borderId="0" xfId="0" applyFont="1" applyAlignment="1">
      <alignment horizontal="right" vertical="center" wrapText="1"/>
    </xf>
    <xf numFmtId="0" fontId="13" fillId="2" borderId="10" xfId="0" applyFont="1" applyFill="1" applyBorder="1" applyAlignment="1">
      <alignment horizontal="left" vertical="center" wrapText="1"/>
    </xf>
    <xf numFmtId="0" fontId="13" fillId="2" borderId="10" xfId="0" applyFont="1" applyFill="1" applyBorder="1" applyAlignment="1">
      <alignment horizontal="left" vertical="center"/>
    </xf>
    <xf numFmtId="0" fontId="15" fillId="2" borderId="0" xfId="0" applyFont="1" applyFill="1" applyAlignment="1">
      <alignment horizontal="center"/>
    </xf>
    <xf numFmtId="3" fontId="12" fillId="2" borderId="2" xfId="87" applyNumberFormat="1" applyFont="1" applyFill="1" applyBorder="1" applyAlignment="1">
      <alignment horizontal="center" vertical="center" wrapText="1"/>
    </xf>
    <xf numFmtId="3" fontId="12" fillId="2" borderId="4" xfId="87" applyNumberFormat="1" applyFont="1" applyFill="1" applyBorder="1" applyAlignment="1">
      <alignment horizontal="center" vertical="center" wrapText="1"/>
    </xf>
    <xf numFmtId="3" fontId="12" fillId="2" borderId="5" xfId="87" applyNumberFormat="1" applyFont="1" applyFill="1" applyBorder="1" applyAlignment="1">
      <alignment horizontal="center" vertical="center" wrapText="1"/>
    </xf>
    <xf numFmtId="3" fontId="12" fillId="2" borderId="3" xfId="87" applyNumberFormat="1" applyFont="1" applyFill="1" applyBorder="1" applyAlignment="1">
      <alignment horizontal="center" vertical="center" wrapText="1"/>
    </xf>
    <xf numFmtId="0" fontId="21" fillId="2" borderId="0" xfId="0" applyFont="1" applyFill="1" applyAlignment="1">
      <alignment horizontal="center" vertical="center" wrapText="1"/>
    </xf>
    <xf numFmtId="1" fontId="38" fillId="2" borderId="0" xfId="86" applyNumberFormat="1" applyFont="1" applyFill="1" applyAlignment="1">
      <alignment horizontal="center" vertical="center" wrapText="1"/>
    </xf>
    <xf numFmtId="1" fontId="13" fillId="2" borderId="0" xfId="86" applyNumberFormat="1" applyFont="1" applyFill="1" applyAlignment="1">
      <alignment horizontal="right" vertical="center" wrapText="1"/>
    </xf>
    <xf numFmtId="3" fontId="12" fillId="2" borderId="13" xfId="87" applyNumberFormat="1" applyFont="1" applyFill="1" applyBorder="1" applyAlignment="1">
      <alignment horizontal="center" vertical="center" wrapText="1"/>
    </xf>
    <xf numFmtId="3" fontId="12" fillId="2" borderId="10" xfId="87" applyNumberFormat="1" applyFont="1" applyFill="1" applyBorder="1" applyAlignment="1">
      <alignment horizontal="center" vertical="center" wrapText="1"/>
    </xf>
    <xf numFmtId="3" fontId="12" fillId="2" borderId="11" xfId="87" applyNumberFormat="1" applyFont="1" applyFill="1" applyBorder="1" applyAlignment="1">
      <alignment horizontal="center" vertical="center" wrapText="1"/>
    </xf>
    <xf numFmtId="3" fontId="12" fillId="2" borderId="14" xfId="87" applyNumberFormat="1" applyFont="1" applyFill="1" applyBorder="1" applyAlignment="1">
      <alignment horizontal="center" vertical="center" wrapText="1"/>
    </xf>
    <xf numFmtId="3" fontId="12" fillId="2" borderId="1" xfId="87" applyNumberFormat="1" applyFont="1" applyFill="1" applyBorder="1" applyAlignment="1">
      <alignment horizontal="center" vertical="center" wrapText="1"/>
    </xf>
    <xf numFmtId="3" fontId="12" fillId="2" borderId="6" xfId="87" applyNumberFormat="1" applyFont="1" applyFill="1" applyBorder="1" applyAlignment="1">
      <alignment horizontal="center" vertical="center" wrapText="1"/>
    </xf>
    <xf numFmtId="3" fontId="22" fillId="2" borderId="8" xfId="87" applyNumberFormat="1" applyFont="1" applyFill="1" applyBorder="1" applyAlignment="1">
      <alignment horizontal="center" vertical="center" wrapText="1"/>
    </xf>
    <xf numFmtId="3" fontId="22" fillId="2" borderId="9" xfId="87" applyNumberFormat="1" applyFont="1" applyFill="1" applyBorder="1" applyAlignment="1">
      <alignment horizontal="center" vertical="center" wrapText="1"/>
    </xf>
    <xf numFmtId="1" fontId="12" fillId="2" borderId="2" xfId="86" applyNumberFormat="1" applyFont="1" applyFill="1" applyBorder="1" applyAlignment="1">
      <alignment horizontal="center" vertical="center" wrapText="1"/>
    </xf>
    <xf numFmtId="1" fontId="12" fillId="2" borderId="4" xfId="86" applyNumberFormat="1" applyFont="1" applyFill="1" applyBorder="1" applyAlignment="1">
      <alignment horizontal="center" vertical="center" wrapText="1"/>
    </xf>
    <xf numFmtId="1" fontId="12" fillId="2" borderId="5" xfId="86" applyNumberFormat="1" applyFont="1" applyFill="1" applyBorder="1" applyAlignment="1">
      <alignment horizontal="center" vertical="center" wrapText="1"/>
    </xf>
    <xf numFmtId="0" fontId="12" fillId="0" borderId="0" xfId="58" applyFont="1" applyAlignment="1">
      <alignment horizontal="center" vertical="center" wrapText="1"/>
    </xf>
    <xf numFmtId="0" fontId="9" fillId="0" borderId="0" xfId="58" applyFont="1" applyAlignment="1">
      <alignment horizontal="center" vertical="center" wrapText="1"/>
    </xf>
    <xf numFmtId="0" fontId="9" fillId="0" borderId="1" xfId="58" applyFont="1" applyBorder="1" applyAlignment="1">
      <alignment horizontal="right" vertical="center" wrapText="1"/>
    </xf>
    <xf numFmtId="0" fontId="12" fillId="2" borderId="3" xfId="0" applyFont="1" applyFill="1" applyBorder="1" applyAlignment="1">
      <alignment horizontal="center" vertical="center" wrapText="1"/>
    </xf>
    <xf numFmtId="188" fontId="12" fillId="2" borderId="3" xfId="0" applyNumberFormat="1" applyFont="1" applyFill="1" applyBorder="1" applyAlignment="1">
      <alignment horizontal="center" vertical="center" wrapText="1"/>
    </xf>
    <xf numFmtId="188" fontId="12" fillId="2" borderId="2"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188" fontId="12" fillId="2" borderId="4" xfId="0" applyNumberFormat="1" applyFont="1" applyFill="1" applyBorder="1" applyAlignment="1">
      <alignment horizontal="center" vertical="center" wrapText="1"/>
    </xf>
    <xf numFmtId="188" fontId="12" fillId="2" borderId="5" xfId="0" applyNumberFormat="1" applyFont="1" applyFill="1" applyBorder="1" applyAlignment="1">
      <alignment horizontal="center" vertical="center" wrapText="1"/>
    </xf>
    <xf numFmtId="188" fontId="12" fillId="2" borderId="7" xfId="0" applyNumberFormat="1" applyFont="1" applyFill="1" applyBorder="1" applyAlignment="1">
      <alignment horizontal="center" vertical="center" wrapText="1"/>
    </xf>
    <xf numFmtId="188" fontId="12" fillId="2" borderId="8" xfId="0" applyNumberFormat="1" applyFont="1" applyFill="1" applyBorder="1" applyAlignment="1">
      <alignment horizontal="center" vertical="center" wrapText="1"/>
    </xf>
    <xf numFmtId="188" fontId="12" fillId="2" borderId="9" xfId="0" applyNumberFormat="1" applyFont="1" applyFill="1" applyBorder="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3" fillId="2" borderId="1" xfId="0" applyFont="1" applyFill="1" applyBorder="1" applyAlignment="1">
      <alignment horizontal="right" vertical="center"/>
    </xf>
    <xf numFmtId="3" fontId="8" fillId="0" borderId="3" xfId="87" applyNumberFormat="1"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left" vertical="center"/>
    </xf>
    <xf numFmtId="3" fontId="8" fillId="0" borderId="2" xfId="87"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3" fontId="8" fillId="0" borderId="2" xfId="86" applyNumberFormat="1" applyFont="1" applyFill="1" applyBorder="1" applyAlignment="1">
      <alignment horizontal="center" vertical="center" wrapText="1"/>
    </xf>
    <xf numFmtId="3" fontId="8" fillId="0" borderId="4" xfId="86" applyNumberFormat="1" applyFont="1" applyFill="1" applyBorder="1" applyAlignment="1">
      <alignment horizontal="center" vertical="center" wrapText="1"/>
    </xf>
    <xf numFmtId="3" fontId="8" fillId="0" borderId="5" xfId="86" applyNumberFormat="1" applyFont="1" applyFill="1" applyBorder="1" applyAlignment="1">
      <alignment horizontal="center" vertical="center" wrapText="1"/>
    </xf>
    <xf numFmtId="3" fontId="8" fillId="0" borderId="3" xfId="86" applyNumberFormat="1" applyFont="1" applyFill="1" applyBorder="1" applyAlignment="1">
      <alignment horizontal="center" vertical="center" wrapText="1"/>
    </xf>
    <xf numFmtId="1" fontId="8" fillId="0" borderId="2" xfId="86" applyNumberFormat="1" applyFont="1" applyFill="1" applyBorder="1" applyAlignment="1">
      <alignment horizontal="center" vertical="center" wrapText="1"/>
    </xf>
    <xf numFmtId="1" fontId="8" fillId="0" borderId="5" xfId="86" applyNumberFormat="1" applyFont="1" applyFill="1" applyBorder="1" applyAlignment="1">
      <alignment horizontal="center" vertical="center" wrapText="1"/>
    </xf>
    <xf numFmtId="3" fontId="8" fillId="0" borderId="5" xfId="87" applyNumberFormat="1" applyFont="1" applyFill="1" applyBorder="1" applyAlignment="1">
      <alignment horizontal="center" vertical="center" wrapText="1"/>
    </xf>
    <xf numFmtId="0" fontId="8" fillId="0" borderId="0" xfId="0" applyFont="1" applyFill="1" applyAlignment="1">
      <alignment horizontal="center" vertical="center" wrapText="1"/>
    </xf>
    <xf numFmtId="1" fontId="9" fillId="0" borderId="0" xfId="86" applyNumberFormat="1" applyFont="1" applyFill="1" applyAlignment="1">
      <alignment horizontal="center" vertical="center" wrapText="1"/>
    </xf>
    <xf numFmtId="1" fontId="9" fillId="0" borderId="0" xfId="86" applyNumberFormat="1" applyFont="1" applyFill="1" applyAlignment="1">
      <alignment horizontal="right" vertical="center" wrapText="1"/>
    </xf>
    <xf numFmtId="3" fontId="8" fillId="2" borderId="2" xfId="87" applyNumberFormat="1" applyFont="1" applyFill="1" applyBorder="1" applyAlignment="1">
      <alignment horizontal="center" vertical="center" wrapText="1"/>
    </xf>
    <xf numFmtId="3" fontId="8" fillId="2" borderId="5" xfId="87"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10" xfId="0" applyFont="1" applyFill="1" applyBorder="1" applyAlignment="1">
      <alignment horizontal="left" wrapText="1"/>
    </xf>
    <xf numFmtId="3" fontId="8" fillId="2" borderId="3" xfId="86" applyNumberFormat="1" applyFont="1" applyFill="1" applyBorder="1" applyAlignment="1">
      <alignment horizontal="center" vertical="center" wrapText="1"/>
    </xf>
    <xf numFmtId="3" fontId="8" fillId="2" borderId="13" xfId="87" applyNumberFormat="1" applyFont="1" applyFill="1" applyBorder="1" applyAlignment="1">
      <alignment horizontal="center" vertical="center" wrapText="1"/>
    </xf>
    <xf numFmtId="3" fontId="8" fillId="2" borderId="10" xfId="87" applyNumberFormat="1" applyFont="1" applyFill="1" applyBorder="1" applyAlignment="1">
      <alignment horizontal="center" vertical="center" wrapText="1"/>
    </xf>
    <xf numFmtId="3" fontId="8" fillId="2" borderId="11" xfId="87" applyNumberFormat="1" applyFont="1" applyFill="1" applyBorder="1" applyAlignment="1">
      <alignment horizontal="center" vertical="center" wrapText="1"/>
    </xf>
    <xf numFmtId="3" fontId="8" fillId="2" borderId="14" xfId="87" applyNumberFormat="1" applyFont="1" applyFill="1" applyBorder="1" applyAlignment="1">
      <alignment horizontal="center" vertical="center" wrapText="1"/>
    </xf>
    <xf numFmtId="3" fontId="8" fillId="2" borderId="1" xfId="87" applyNumberFormat="1" applyFont="1" applyFill="1" applyBorder="1" applyAlignment="1">
      <alignment horizontal="center" vertical="center" wrapText="1"/>
    </xf>
    <xf numFmtId="3" fontId="8" fillId="2" borderId="6" xfId="87"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8" fillId="2" borderId="3" xfId="87" applyNumberFormat="1" applyFont="1" applyFill="1" applyBorder="1" applyAlignment="1">
      <alignment horizontal="center" vertical="center" wrapText="1"/>
    </xf>
    <xf numFmtId="0" fontId="12" fillId="2" borderId="0" xfId="0" applyFont="1" applyFill="1" applyAlignment="1">
      <alignment horizontal="center" vertical="center" wrapText="1"/>
    </xf>
    <xf numFmtId="1" fontId="13" fillId="2" borderId="0" xfId="86" applyNumberFormat="1" applyFont="1" applyFill="1" applyAlignment="1">
      <alignment horizontal="center" vertical="top" wrapText="1"/>
    </xf>
    <xf numFmtId="1" fontId="9" fillId="2" borderId="0" xfId="86" applyNumberFormat="1" applyFont="1" applyFill="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right"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4"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141" fillId="0" borderId="3" xfId="0" applyFont="1" applyBorder="1" applyAlignment="1">
      <alignment horizontal="center" vertical="center" wrapText="1"/>
    </xf>
    <xf numFmtId="0" fontId="119" fillId="0" borderId="3" xfId="0" applyFont="1" applyBorder="1" applyAlignment="1">
      <alignment horizontal="center" vertical="center" wrapText="1"/>
    </xf>
    <xf numFmtId="3" fontId="119" fillId="0" borderId="3" xfId="0" applyNumberFormat="1" applyFont="1" applyBorder="1" applyAlignment="1">
      <alignment horizontal="right" vertical="center" wrapText="1"/>
    </xf>
    <xf numFmtId="0" fontId="141" fillId="0" borderId="0" xfId="0" applyFont="1" applyAlignment="1">
      <alignment vertical="center" wrapText="1"/>
    </xf>
    <xf numFmtId="3" fontId="8" fillId="0" borderId="3" xfId="0" applyNumberFormat="1" applyFont="1" applyBorder="1" applyAlignment="1">
      <alignment vertical="center" wrapText="1"/>
    </xf>
    <xf numFmtId="188" fontId="9" fillId="0" borderId="3" xfId="184" applyNumberFormat="1" applyFont="1" applyBorder="1" applyAlignment="1">
      <alignment horizontal="right" vertical="center"/>
    </xf>
    <xf numFmtId="0" fontId="11" fillId="0" borderId="0" xfId="0" applyFont="1" applyAlignment="1">
      <alignment vertical="center" wrapText="1"/>
    </xf>
    <xf numFmtId="49" fontId="9" fillId="0" borderId="3" xfId="0" quotePrefix="1" applyNumberFormat="1" applyFont="1" applyBorder="1" applyAlignment="1">
      <alignment vertical="center" wrapText="1"/>
    </xf>
    <xf numFmtId="3" fontId="4" fillId="0" borderId="3" xfId="0" applyNumberFormat="1" applyFont="1" applyBorder="1" applyAlignment="1">
      <alignment horizontal="right" vertical="center" wrapText="1"/>
    </xf>
    <xf numFmtId="49" fontId="8" fillId="0" borderId="3" xfId="0" applyNumberFormat="1" applyFont="1" applyBorder="1" applyAlignment="1">
      <alignment horizontal="right" vertical="center" wrapText="1"/>
    </xf>
    <xf numFmtId="0" fontId="11" fillId="0" borderId="3" xfId="0" applyFont="1" applyBorder="1" applyAlignment="1">
      <alignment horizontal="center" vertical="center" wrapText="1"/>
    </xf>
    <xf numFmtId="0" fontId="146" fillId="0" borderId="10" xfId="0" applyFont="1" applyBorder="1" applyAlignment="1">
      <alignment horizontal="left" vertical="center" wrapText="1"/>
    </xf>
    <xf numFmtId="0" fontId="9" fillId="0" borderId="0" xfId="0" applyFont="1" applyAlignment="1">
      <alignment horizontal="left" vertical="center" wrapText="1"/>
    </xf>
    <xf numFmtId="49" fontId="4" fillId="0" borderId="3" xfId="0" applyNumberFormat="1" applyFont="1" applyBorder="1" applyAlignment="1">
      <alignment vertical="center" wrapText="1"/>
    </xf>
    <xf numFmtId="188" fontId="4" fillId="0" borderId="3" xfId="184" applyNumberFormat="1" applyFont="1" applyBorder="1" applyAlignment="1">
      <alignment horizontal="right" vertical="center"/>
    </xf>
    <xf numFmtId="49" fontId="4" fillId="0" borderId="3" xfId="0" quotePrefix="1" applyNumberFormat="1" applyFont="1" applyBorder="1" applyAlignment="1">
      <alignment vertical="center" wrapText="1"/>
    </xf>
    <xf numFmtId="188" fontId="8" fillId="0" borderId="3" xfId="184" applyNumberFormat="1" applyFont="1" applyBorder="1" applyAlignment="1">
      <alignment horizontal="right" vertical="center"/>
    </xf>
    <xf numFmtId="3" fontId="4" fillId="0" borderId="3" xfId="0" applyNumberFormat="1" applyFont="1" applyBorder="1" applyAlignment="1">
      <alignment vertical="center" wrapText="1"/>
    </xf>
  </cellXfs>
  <cellStyles count="185">
    <cellStyle name="52" xfId="17"/>
    <cellStyle name="AeE­ [0]_INQUIRY ¿μ¾÷AßAø " xfId="14"/>
    <cellStyle name="AeE­_INQUIRY ¿µ¾÷AßAø " xfId="19"/>
    <cellStyle name="AÞ¸¶ [0]_INQUIRY ¿?¾÷AßAø " xfId="3"/>
    <cellStyle name="AÞ¸¶_INQUIRY ¿?¾÷AßAø " xfId="2"/>
    <cellStyle name="C?AØ_¿?¾÷CoE² " xfId="20"/>
    <cellStyle name="C￥AØ_¿μ¾÷CoE² " xfId="21"/>
    <cellStyle name="Comma" xfId="1" builtinId="3"/>
    <cellStyle name="Comma 10 10" xfId="7"/>
    <cellStyle name="Comma 10 2" xfId="22"/>
    <cellStyle name="Comma 11" xfId="9"/>
    <cellStyle name="Comma 16 3" xfId="122"/>
    <cellStyle name="Comma 16 3 2" xfId="183"/>
    <cellStyle name="Comma 16 3 2 2 2 3" xfId="12"/>
    <cellStyle name="Comma 2" xfId="23"/>
    <cellStyle name="Comma 2 10" xfId="116"/>
    <cellStyle name="Comma 2 2 2" xfId="125"/>
    <cellStyle name="Comma 2 3" xfId="121"/>
    <cellStyle name="Comma 3" xfId="24"/>
    <cellStyle name="Comma 4" xfId="25"/>
    <cellStyle name="Comma 4 2" xfId="8"/>
    <cellStyle name="Comma 5" xfId="26"/>
    <cellStyle name="Comma 5 17" xfId="27"/>
    <cellStyle name="Comma 5 2" xfId="156"/>
    <cellStyle name="Comma 6" xfId="28"/>
    <cellStyle name="Comma 7" xfId="29"/>
    <cellStyle name="Comma 8" xfId="120"/>
    <cellStyle name="Comma 9" xfId="30"/>
    <cellStyle name="comma zerodec" xfId="31"/>
    <cellStyle name="Comma0" xfId="32"/>
    <cellStyle name="Currency0" xfId="33"/>
    <cellStyle name="Currency1" xfId="34"/>
    <cellStyle name="Date" xfId="35"/>
    <cellStyle name="Dollar (zero dec)" xfId="37"/>
    <cellStyle name="Fixed" xfId="11"/>
    <cellStyle name="Grey" xfId="38"/>
    <cellStyle name="Header1" xfId="39"/>
    <cellStyle name="Header2" xfId="41"/>
    <cellStyle name="HEADING1" xfId="42"/>
    <cellStyle name="HEADING2" xfId="18"/>
    <cellStyle name="Input [yellow]" xfId="44"/>
    <cellStyle name="Loai CBDT" xfId="46"/>
    <cellStyle name="Loai CT" xfId="10"/>
    <cellStyle name="Loai GD" xfId="43"/>
    <cellStyle name="Monétaire [0]_TARIFFS DB" xfId="47"/>
    <cellStyle name="Monétaire_TARIFFS DB" xfId="48"/>
    <cellStyle name="n" xfId="50"/>
    <cellStyle name="New Times Roman" xfId="51"/>
    <cellStyle name="no dec" xfId="52"/>
    <cellStyle name="Normal" xfId="0" builtinId="0"/>
    <cellStyle name="Normal - Style1" xfId="13"/>
    <cellStyle name="Normal 10" xfId="53"/>
    <cellStyle name="Normal 10 14" xfId="113"/>
    <cellStyle name="Normal 10 2" xfId="54"/>
    <cellStyle name="Normal 11" xfId="56"/>
    <cellStyle name="Normal 12" xfId="57"/>
    <cellStyle name="Normal 12 2" xfId="126"/>
    <cellStyle name="Normal 12 4" xfId="124"/>
    <cellStyle name="Normal 122" xfId="132"/>
    <cellStyle name="Normal 127" xfId="135"/>
    <cellStyle name="Normal 13" xfId="127"/>
    <cellStyle name="Normal 131" xfId="137"/>
    <cellStyle name="Normal 137" xfId="162"/>
    <cellStyle name="Normal 138" xfId="170"/>
    <cellStyle name="Normal 139" xfId="173"/>
    <cellStyle name="Normal 14 2" xfId="161"/>
    <cellStyle name="Normal 140" xfId="174"/>
    <cellStyle name="Normal 147" xfId="146"/>
    <cellStyle name="Normal 149" xfId="177"/>
    <cellStyle name="Normal 15" xfId="133"/>
    <cellStyle name="Normal 15 2" xfId="160"/>
    <cellStyle name="Normal 150" xfId="178"/>
    <cellStyle name="Normal 151" xfId="179"/>
    <cellStyle name="Normal 152" xfId="180"/>
    <cellStyle name="Normal 153" xfId="181"/>
    <cellStyle name="Normal 154" xfId="182"/>
    <cellStyle name="Normal 155" xfId="152"/>
    <cellStyle name="Normal 156" xfId="154"/>
    <cellStyle name="Normal 157" xfId="158"/>
    <cellStyle name="Normal 158" xfId="157"/>
    <cellStyle name="Normal 159" xfId="159"/>
    <cellStyle name="Normal 16" xfId="134"/>
    <cellStyle name="Normal 160" xfId="176"/>
    <cellStyle name="Normal 18 2" xfId="153"/>
    <cellStyle name="Normal 19" xfId="136"/>
    <cellStyle name="Normal 2" xfId="58"/>
    <cellStyle name="Normal 2 10 2" xfId="131"/>
    <cellStyle name="Normal 2 2" xfId="59"/>
    <cellStyle name="Normal 2 3" xfId="60"/>
    <cellStyle name="Normal 2 3 2" xfId="62"/>
    <cellStyle name="Normal 2 3_Bieu 2 TH nganh, linh vuc" xfId="6"/>
    <cellStyle name="Normal 2 6" xfId="119"/>
    <cellStyle name="Normal 2_Bang bieu" xfId="63"/>
    <cellStyle name="Normal 2_Bao cao BoKH ve lap KH dau tu cong trung han 5 nam 2016-2020 (Nguyet)" xfId="64"/>
    <cellStyle name="Normal 20" xfId="138"/>
    <cellStyle name="Normal 21" xfId="139"/>
    <cellStyle name="Normal 21 2" xfId="155"/>
    <cellStyle name="Normal 22" xfId="140"/>
    <cellStyle name="Normal 23" xfId="141"/>
    <cellStyle name="Normal 23 2" xfId="147"/>
    <cellStyle name="Normal 24" xfId="142"/>
    <cellStyle name="Normal 25" xfId="65"/>
    <cellStyle name="Normal 26" xfId="143"/>
    <cellStyle name="Normal 3" xfId="66"/>
    <cellStyle name="Normal 3 19" xfId="130"/>
    <cellStyle name="Normal 3 2" xfId="117"/>
    <cellStyle name="Normal 3 20" xfId="67"/>
    <cellStyle name="Normal 31" xfId="69"/>
    <cellStyle name="Normal 34" xfId="71"/>
    <cellStyle name="Normal 35" xfId="73"/>
    <cellStyle name="Normal 36" xfId="128"/>
    <cellStyle name="Normal 38" xfId="74"/>
    <cellStyle name="Normal 39" xfId="75"/>
    <cellStyle name="Normal 4" xfId="76"/>
    <cellStyle name="Normal 4 2" xfId="77"/>
    <cellStyle name="Normal 4_Bang bieu" xfId="78"/>
    <cellStyle name="Normal 40" xfId="72"/>
    <cellStyle name="Normal 5" xfId="79"/>
    <cellStyle name="Normal 5 17" xfId="115"/>
    <cellStyle name="Normal 50" xfId="175"/>
    <cellStyle name="Normal 51" xfId="163"/>
    <cellStyle name="Normal 52" xfId="165"/>
    <cellStyle name="Normal 53" xfId="171"/>
    <cellStyle name="Normal 55" xfId="129"/>
    <cellStyle name="Normal 57 2" xfId="114"/>
    <cellStyle name="Normal 6" xfId="80"/>
    <cellStyle name="Normal 63" xfId="164"/>
    <cellStyle name="Normal 64" xfId="166"/>
    <cellStyle name="Normal 65" xfId="167"/>
    <cellStyle name="Normal 66" xfId="168"/>
    <cellStyle name="Normal 67" xfId="169"/>
    <cellStyle name="Normal 68" xfId="172"/>
    <cellStyle name="Normal 7" xfId="81"/>
    <cellStyle name="Normal 72" xfId="148"/>
    <cellStyle name="Normal 73" xfId="149"/>
    <cellStyle name="Normal 74" xfId="150"/>
    <cellStyle name="Normal 75" xfId="151"/>
    <cellStyle name="Normal 8" xfId="82"/>
    <cellStyle name="Normal 8 2" xfId="40"/>
    <cellStyle name="Normal 8_Bieu 2 TH nganh, linh vuc" xfId="70"/>
    <cellStyle name="Normal 9" xfId="83"/>
    <cellStyle name="Normal 9 2" xfId="84"/>
    <cellStyle name="Normal 9_Bieu 2 TH nganh, linh vuc" xfId="85"/>
    <cellStyle name="Normal_Bao cao BoKH ve lap KH dau tu cong trung han 5 nam 2016-2020 (30-6-2015) chinh thuc trinh UBND tinh" xfId="36"/>
    <cellStyle name="Normal_Bieu mau (CV )" xfId="86"/>
    <cellStyle name="Normal_Bieu mau (CV ) 2 10" xfId="87"/>
    <cellStyle name="Normal_Bieu mau (CV ) 2 2" xfId="88"/>
    <cellStyle name="Normal_Bieu mau (CV ) 2_Bao cao BoKH ve lap KH dau tu cong trung han 5 nam ( ngay 17.12.2014)" xfId="144"/>
    <cellStyle name="Normal_BM2DP)" xfId="45"/>
    <cellStyle name="Normal_Dieu chinh von dau tu XDCB 6 thang nam 2014 (chinh thuc)_Bieu dieu chinh bo sung ke hoach von dau tu phat trien 6 thang giua nam 2016" xfId="123"/>
    <cellStyle name="Normal_Ke hoach von dau tu XDCB nam 2014 ( thong qua thanh vien UBND tinh ngay 17.10.2013) xls" xfId="184"/>
    <cellStyle name="Normal_Quyet dinh ke hoach von dau tu XDCB nam 2015 (trinh UBND chinh  thuc 26.10.2014)" xfId="89"/>
    <cellStyle name="Normal_Sheet1" xfId="4"/>
    <cellStyle name="Normal_von tang cuong" xfId="118"/>
    <cellStyle name="Normal_XD dau tu trung han 2016-2020 (Thao)" xfId="90"/>
    <cellStyle name="Percent" xfId="145" builtinId="5"/>
    <cellStyle name="Percent [2]" xfId="91"/>
    <cellStyle name="Percent 2" xfId="92"/>
    <cellStyle name="T" xfId="15"/>
    <cellStyle name="th" xfId="61"/>
    <cellStyle name="Tong so" xfId="5"/>
    <cellStyle name="tong so 1" xfId="55"/>
    <cellStyle name="viet" xfId="94"/>
    <cellStyle name="viet2" xfId="95"/>
    <cellStyle name="xuan" xfId="96"/>
    <cellStyle name=" [0.00]_ Att. 1- Cover" xfId="97"/>
    <cellStyle name="_ Att. 1- Cover" xfId="16"/>
    <cellStyle name="?_ Att. 1- Cover" xfId="98"/>
    <cellStyle name="똿뗦먛귟 [0.00]_PRODUCT DETAIL Q1" xfId="49"/>
    <cellStyle name="똿뗦먛귟_PRODUCT DETAIL Q1" xfId="99"/>
    <cellStyle name="믅됞 [0.00]_PRODUCT DETAIL Q1" xfId="100"/>
    <cellStyle name="믅됞_PRODUCT DETAIL Q1" xfId="101"/>
    <cellStyle name="백분율_95" xfId="102"/>
    <cellStyle name="뷭?_BOOKSHIP" xfId="103"/>
    <cellStyle name="콤마 [0]_1202" xfId="104"/>
    <cellStyle name="콤마_1202" xfId="105"/>
    <cellStyle name="통화 [0]_1202" xfId="106"/>
    <cellStyle name="통화_1202" xfId="68"/>
    <cellStyle name="표준_(정보부문)월별인원계획" xfId="107"/>
    <cellStyle name="一般_00Q3902REV.1" xfId="108"/>
    <cellStyle name="千分位[0]_00Q3902REV.1" xfId="93"/>
    <cellStyle name="千分位_00Q3902REV.1" xfId="109"/>
    <cellStyle name="貨幣 [0]_00Q3902REV.1" xfId="110"/>
    <cellStyle name="貨幣[0]_BRE" xfId="111"/>
    <cellStyle name="貨幣_00Q3902REV.1" xfId="1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1359294</xdr:colOff>
      <xdr:row>3</xdr:row>
      <xdr:rowOff>26404</xdr:rowOff>
    </xdr:from>
    <xdr:to>
      <xdr:col>5</xdr:col>
      <xdr:colOff>265394</xdr:colOff>
      <xdr:row>3</xdr:row>
      <xdr:rowOff>26404</xdr:rowOff>
    </xdr:to>
    <xdr:cxnSp macro="">
      <xdr:nvCxnSpPr>
        <xdr:cNvPr id="2" name="Straight Connector 1">
          <a:extLst>
            <a:ext uri="{FF2B5EF4-FFF2-40B4-BE49-F238E27FC236}">
              <a16:creationId xmlns="" xmlns:a16="http://schemas.microsoft.com/office/drawing/2014/main" id="{00000000-0008-0000-0100-000004000000}"/>
            </a:ext>
          </a:extLst>
        </xdr:cNvPr>
        <xdr:cNvCxnSpPr/>
      </xdr:nvCxnSpPr>
      <xdr:spPr>
        <a:xfrm>
          <a:off x="5960602" y="1096135"/>
          <a:ext cx="31410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293543</xdr:colOff>
      <xdr:row>2</xdr:row>
      <xdr:rowOff>541194</xdr:rowOff>
    </xdr:from>
    <xdr:to>
      <xdr:col>14</xdr:col>
      <xdr:colOff>600940</xdr:colOff>
      <xdr:row>2</xdr:row>
      <xdr:rowOff>541194</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17800493" y="2179494"/>
          <a:ext cx="39078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983232</xdr:colOff>
      <xdr:row>3</xdr:row>
      <xdr:rowOff>57150</xdr:rowOff>
    </xdr:from>
    <xdr:to>
      <xdr:col>11</xdr:col>
      <xdr:colOff>36748</xdr:colOff>
      <xdr:row>3</xdr:row>
      <xdr:rowOff>57150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11711390" y="1260308"/>
          <a:ext cx="41000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1450561</xdr:colOff>
      <xdr:row>2</xdr:row>
      <xdr:rowOff>470452</xdr:rowOff>
    </xdr:from>
    <xdr:to>
      <xdr:col>9</xdr:col>
      <xdr:colOff>65847</xdr:colOff>
      <xdr:row>2</xdr:row>
      <xdr:rowOff>470452</xdr:rowOff>
    </xdr:to>
    <xdr:cxnSp macro="">
      <xdr:nvCxnSpPr>
        <xdr:cNvPr id="16" name="Straight Connector 15">
          <a:extLst>
            <a:ext uri="{FF2B5EF4-FFF2-40B4-BE49-F238E27FC236}">
              <a16:creationId xmlns:a16="http://schemas.microsoft.com/office/drawing/2014/main" xmlns="" id="{00000000-0008-0000-0F00-000002000000}"/>
            </a:ext>
          </a:extLst>
        </xdr:cNvPr>
        <xdr:cNvCxnSpPr/>
      </xdr:nvCxnSpPr>
      <xdr:spPr>
        <a:xfrm>
          <a:off x="11166061" y="1670602"/>
          <a:ext cx="36635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800100</xdr:colOff>
      <xdr:row>3</xdr:row>
      <xdr:rowOff>38100</xdr:rowOff>
    </xdr:from>
    <xdr:to>
      <xdr:col>7</xdr:col>
      <xdr:colOff>400050</xdr:colOff>
      <xdr:row>3</xdr:row>
      <xdr:rowOff>38100</xdr:rowOff>
    </xdr:to>
    <xdr:cxnSp macro="">
      <xdr:nvCxnSpPr>
        <xdr:cNvPr id="3" name="Straight Connector 2">
          <a:extLst>
            <a:ext uri="{FF2B5EF4-FFF2-40B4-BE49-F238E27FC236}">
              <a16:creationId xmlns:a16="http://schemas.microsoft.com/office/drawing/2014/main" xmlns="" id="{00000000-0008-0000-1000-000003000000}"/>
            </a:ext>
          </a:extLst>
        </xdr:cNvPr>
        <xdr:cNvCxnSpPr/>
      </xdr:nvCxnSpPr>
      <xdr:spPr>
        <a:xfrm>
          <a:off x="5343525" y="1238250"/>
          <a:ext cx="320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560294</xdr:colOff>
      <xdr:row>2</xdr:row>
      <xdr:rowOff>93383</xdr:rowOff>
    </xdr:from>
    <xdr:ext cx="2721429" cy="625930"/>
    <xdr:sp macro="" textlink="">
      <xdr:nvSpPr>
        <xdr:cNvPr id="2" name="TextBox 1">
          <a:extLst>
            <a:ext uri="{FF2B5EF4-FFF2-40B4-BE49-F238E27FC236}">
              <a16:creationId xmlns:a16="http://schemas.microsoft.com/office/drawing/2014/main" xmlns="" id="{00000000-0008-0000-1100-000002000000}"/>
            </a:ext>
          </a:extLst>
        </xdr:cNvPr>
        <xdr:cNvSpPr txBox="1"/>
      </xdr:nvSpPr>
      <xdr:spPr>
        <a:xfrm>
          <a:off x="1176618" y="1456765"/>
          <a:ext cx="2721429" cy="625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n-US" sz="2800" b="1">
            <a:solidFill>
              <a:srgbClr val="FF0000"/>
            </a:solidFill>
          </a:endParaRPr>
        </a:p>
      </xdr:txBody>
    </xdr:sp>
    <xdr:clientData/>
  </xdr:oneCellAnchor>
  <xdr:twoCellAnchor>
    <xdr:from>
      <xdr:col>6</xdr:col>
      <xdr:colOff>1546228</xdr:colOff>
      <xdr:row>2</xdr:row>
      <xdr:rowOff>541618</xdr:rowOff>
    </xdr:from>
    <xdr:to>
      <xdr:col>10</xdr:col>
      <xdr:colOff>283585</xdr:colOff>
      <xdr:row>2</xdr:row>
      <xdr:rowOff>555224</xdr:rowOff>
    </xdr:to>
    <xdr:cxnSp macro="">
      <xdr:nvCxnSpPr>
        <xdr:cNvPr id="4" name="Straight Connector 3">
          <a:extLst>
            <a:ext uri="{FF2B5EF4-FFF2-40B4-BE49-F238E27FC236}">
              <a16:creationId xmlns:a16="http://schemas.microsoft.com/office/drawing/2014/main" xmlns="" id="{00000000-0008-0000-1100-000004000000}"/>
            </a:ext>
          </a:extLst>
        </xdr:cNvPr>
        <xdr:cNvCxnSpPr/>
      </xdr:nvCxnSpPr>
      <xdr:spPr>
        <a:xfrm flipV="1">
          <a:off x="9207049" y="2065618"/>
          <a:ext cx="3649536" cy="13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756897</xdr:colOff>
      <xdr:row>2</xdr:row>
      <xdr:rowOff>363764</xdr:rowOff>
    </xdr:from>
    <xdr:to>
      <xdr:col>9</xdr:col>
      <xdr:colOff>142875</xdr:colOff>
      <xdr:row>2</xdr:row>
      <xdr:rowOff>363764</xdr:rowOff>
    </xdr:to>
    <xdr:cxnSp macro="">
      <xdr:nvCxnSpPr>
        <xdr:cNvPr id="2" name="Straight Connector 1">
          <a:extLst>
            <a:ext uri="{FF2B5EF4-FFF2-40B4-BE49-F238E27FC236}">
              <a16:creationId xmlns:a16="http://schemas.microsoft.com/office/drawing/2014/main" xmlns="" id="{00000000-0008-0000-1600-000006000000}"/>
            </a:ext>
          </a:extLst>
        </xdr:cNvPr>
        <xdr:cNvCxnSpPr/>
      </xdr:nvCxnSpPr>
      <xdr:spPr>
        <a:xfrm>
          <a:off x="9377022" y="1332139"/>
          <a:ext cx="3275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1163409</xdr:colOff>
      <xdr:row>3</xdr:row>
      <xdr:rowOff>86632</xdr:rowOff>
    </xdr:from>
    <xdr:to>
      <xdr:col>11</xdr:col>
      <xdr:colOff>0</xdr:colOff>
      <xdr:row>3</xdr:row>
      <xdr:rowOff>86632</xdr:rowOff>
    </xdr:to>
    <xdr:cxnSp macro="">
      <xdr:nvCxnSpPr>
        <xdr:cNvPr id="2" name="Straight Connector 1">
          <a:extLst>
            <a:ext uri="{FF2B5EF4-FFF2-40B4-BE49-F238E27FC236}">
              <a16:creationId xmlns:a16="http://schemas.microsoft.com/office/drawing/2014/main" xmlns="" id="{00000000-0008-0000-1700-000005000000}"/>
            </a:ext>
          </a:extLst>
        </xdr:cNvPr>
        <xdr:cNvCxnSpPr/>
      </xdr:nvCxnSpPr>
      <xdr:spPr>
        <a:xfrm>
          <a:off x="8640534" y="1324882"/>
          <a:ext cx="307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1163409</xdr:colOff>
      <xdr:row>3</xdr:row>
      <xdr:rowOff>86632</xdr:rowOff>
    </xdr:from>
    <xdr:to>
      <xdr:col>11</xdr:col>
      <xdr:colOff>0</xdr:colOff>
      <xdr:row>3</xdr:row>
      <xdr:rowOff>86632</xdr:rowOff>
    </xdr:to>
    <xdr:cxnSp macro="">
      <xdr:nvCxnSpPr>
        <xdr:cNvPr id="3" name="Straight Connector 2">
          <a:extLst>
            <a:ext uri="{FF2B5EF4-FFF2-40B4-BE49-F238E27FC236}">
              <a16:creationId xmlns="" xmlns:a16="http://schemas.microsoft.com/office/drawing/2014/main" id="{00000000-0008-0000-1100-000005000000}"/>
            </a:ext>
          </a:extLst>
        </xdr:cNvPr>
        <xdr:cNvCxnSpPr/>
      </xdr:nvCxnSpPr>
      <xdr:spPr>
        <a:xfrm>
          <a:off x="8640534" y="1324882"/>
          <a:ext cx="307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1163409</xdr:colOff>
      <xdr:row>3</xdr:row>
      <xdr:rowOff>86632</xdr:rowOff>
    </xdr:from>
    <xdr:to>
      <xdr:col>11</xdr:col>
      <xdr:colOff>0</xdr:colOff>
      <xdr:row>3</xdr:row>
      <xdr:rowOff>86632</xdr:rowOff>
    </xdr:to>
    <xdr:cxnSp macro="">
      <xdr:nvCxnSpPr>
        <xdr:cNvPr id="4" name="Straight Connector 3">
          <a:extLst>
            <a:ext uri="{FF2B5EF4-FFF2-40B4-BE49-F238E27FC236}">
              <a16:creationId xmlns:a16="http://schemas.microsoft.com/office/drawing/2014/main" xmlns="" id="{00000000-0008-0000-1100-000005000000}"/>
            </a:ext>
          </a:extLst>
        </xdr:cNvPr>
        <xdr:cNvCxnSpPr/>
      </xdr:nvCxnSpPr>
      <xdr:spPr>
        <a:xfrm>
          <a:off x="8640534" y="1324882"/>
          <a:ext cx="307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1163409</xdr:colOff>
      <xdr:row>3</xdr:row>
      <xdr:rowOff>86632</xdr:rowOff>
    </xdr:from>
    <xdr:to>
      <xdr:col>11</xdr:col>
      <xdr:colOff>0</xdr:colOff>
      <xdr:row>3</xdr:row>
      <xdr:rowOff>86632</xdr:rowOff>
    </xdr:to>
    <xdr:cxnSp macro="">
      <xdr:nvCxnSpPr>
        <xdr:cNvPr id="5" name="Straight Connector 4">
          <a:extLst>
            <a:ext uri="{FF2B5EF4-FFF2-40B4-BE49-F238E27FC236}">
              <a16:creationId xmlns:a16="http://schemas.microsoft.com/office/drawing/2014/main" xmlns="" id="{00000000-0008-0000-1100-000005000000}"/>
            </a:ext>
          </a:extLst>
        </xdr:cNvPr>
        <xdr:cNvCxnSpPr/>
      </xdr:nvCxnSpPr>
      <xdr:spPr>
        <a:xfrm>
          <a:off x="8640534" y="1324882"/>
          <a:ext cx="307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1163409</xdr:colOff>
      <xdr:row>3</xdr:row>
      <xdr:rowOff>86632</xdr:rowOff>
    </xdr:from>
    <xdr:to>
      <xdr:col>11</xdr:col>
      <xdr:colOff>0</xdr:colOff>
      <xdr:row>3</xdr:row>
      <xdr:rowOff>86632</xdr:rowOff>
    </xdr:to>
    <xdr:cxnSp macro="">
      <xdr:nvCxnSpPr>
        <xdr:cNvPr id="6" name="Straight Connector 5">
          <a:extLst>
            <a:ext uri="{FF2B5EF4-FFF2-40B4-BE49-F238E27FC236}">
              <a16:creationId xmlns:a16="http://schemas.microsoft.com/office/drawing/2014/main" xmlns="" id="{00000000-0008-0000-1100-000005000000}"/>
            </a:ext>
          </a:extLst>
        </xdr:cNvPr>
        <xdr:cNvCxnSpPr/>
      </xdr:nvCxnSpPr>
      <xdr:spPr>
        <a:xfrm>
          <a:off x="8640534" y="1324882"/>
          <a:ext cx="307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1163409</xdr:colOff>
      <xdr:row>3</xdr:row>
      <xdr:rowOff>86632</xdr:rowOff>
    </xdr:from>
    <xdr:to>
      <xdr:col>11</xdr:col>
      <xdr:colOff>0</xdr:colOff>
      <xdr:row>3</xdr:row>
      <xdr:rowOff>86632</xdr:rowOff>
    </xdr:to>
    <xdr:cxnSp macro="">
      <xdr:nvCxnSpPr>
        <xdr:cNvPr id="7" name="Straight Connector 6">
          <a:extLst>
            <a:ext uri="{FF2B5EF4-FFF2-40B4-BE49-F238E27FC236}">
              <a16:creationId xmlns:a16="http://schemas.microsoft.com/office/drawing/2014/main" xmlns="" id="{00000000-0008-0000-1100-000003000000}"/>
            </a:ext>
          </a:extLst>
        </xdr:cNvPr>
        <xdr:cNvCxnSpPr/>
      </xdr:nvCxnSpPr>
      <xdr:spPr>
        <a:xfrm>
          <a:off x="8640534" y="1324882"/>
          <a:ext cx="307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1163409</xdr:colOff>
      <xdr:row>3</xdr:row>
      <xdr:rowOff>86632</xdr:rowOff>
    </xdr:from>
    <xdr:to>
      <xdr:col>11</xdr:col>
      <xdr:colOff>0</xdr:colOff>
      <xdr:row>3</xdr:row>
      <xdr:rowOff>86632</xdr:rowOff>
    </xdr:to>
    <xdr:cxnSp macro="">
      <xdr:nvCxnSpPr>
        <xdr:cNvPr id="8" name="Straight Connector 7">
          <a:extLst>
            <a:ext uri="{FF2B5EF4-FFF2-40B4-BE49-F238E27FC236}">
              <a16:creationId xmlns:a16="http://schemas.microsoft.com/office/drawing/2014/main" xmlns="" id="{00000000-0008-0000-1100-000004000000}"/>
            </a:ext>
          </a:extLst>
        </xdr:cNvPr>
        <xdr:cNvCxnSpPr/>
      </xdr:nvCxnSpPr>
      <xdr:spPr>
        <a:xfrm>
          <a:off x="8640534" y="1324882"/>
          <a:ext cx="307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imac\Documents\AppData\imac\AppData\Roaming\Microsoft\Xu&#226;n%202018\B&#225;o%20c&#225;o\PH&#194;N%20C&#7844;P%20&#7910;Y%20QUY&#7872;N\UBND%20t&#7881;nh\Tr&#225;nh%20tr&#250;%20b&#7843;o%20KH%20c&#7843;ng%20c&#225;.pdf"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3"/>
  <sheetViews>
    <sheetView zoomScaleSheetLayoutView="65" workbookViewId="0">
      <selection sqref="A1:N1"/>
    </sheetView>
  </sheetViews>
  <sheetFormatPr defaultColWidth="9.140625" defaultRowHeight="18.75"/>
  <cols>
    <col min="1" max="1" width="6" style="30" customWidth="1"/>
    <col min="2" max="2" width="30.85546875" style="36" customWidth="1"/>
    <col min="3" max="3" width="7.7109375" style="36" customWidth="1"/>
    <col min="4" max="6" width="8.7109375" style="36" customWidth="1"/>
    <col min="7" max="7" width="13" style="36" customWidth="1"/>
    <col min="8" max="8" width="8.7109375" style="36" customWidth="1"/>
    <col min="9" max="9" width="11" style="36" customWidth="1"/>
    <col min="10" max="10" width="9.28515625" style="36" customWidth="1"/>
    <col min="11" max="11" width="7.7109375" style="36" customWidth="1"/>
    <col min="12" max="12" width="8.28515625" style="36" customWidth="1"/>
    <col min="13" max="14" width="8.42578125" style="36" customWidth="1"/>
    <col min="15" max="15" width="13" style="36" customWidth="1"/>
    <col min="16" max="16" width="8.7109375" style="36" customWidth="1"/>
    <col min="17" max="17" width="11" style="36" customWidth="1"/>
    <col min="18" max="18" width="9.28515625" style="36" customWidth="1"/>
    <col min="19" max="19" width="7.28515625" style="36" customWidth="1"/>
    <col min="20" max="20" width="8.42578125" style="36" customWidth="1"/>
    <col min="21" max="22" width="8.140625" style="36" customWidth="1"/>
    <col min="23" max="23" width="12.42578125" style="36" customWidth="1"/>
    <col min="24" max="24" width="8.7109375" style="36" customWidth="1"/>
    <col min="25" max="25" width="10.42578125" style="36" customWidth="1"/>
    <col min="26" max="28" width="8.7109375" style="36" customWidth="1"/>
    <col min="29" max="30" width="8" style="36" customWidth="1"/>
    <col min="31" max="31" width="11.5703125" style="36" customWidth="1"/>
    <col min="32" max="32" width="8.7109375" style="36" customWidth="1"/>
    <col min="33" max="33" width="10.42578125" style="36" customWidth="1"/>
    <col min="34" max="36" width="8.7109375" style="36" customWidth="1"/>
    <col min="37" max="37" width="8" style="36" customWidth="1"/>
    <col min="38" max="38" width="8.7109375" style="36" customWidth="1"/>
    <col min="39" max="39" width="12.42578125" style="36" customWidth="1"/>
    <col min="40" max="40" width="8.7109375" style="36" customWidth="1"/>
    <col min="41" max="41" width="12.7109375" style="36" customWidth="1"/>
    <col min="42" max="42" width="8.7109375" style="36" customWidth="1"/>
    <col min="43" max="43" width="8.28515625" style="36" customWidth="1"/>
    <col min="44" max="16384" width="9.140625" style="36"/>
  </cols>
  <sheetData>
    <row r="1" spans="1:43" s="28" customFormat="1" ht="25.5" customHeight="1">
      <c r="A1" s="1201" t="s">
        <v>0</v>
      </c>
      <c r="B1" s="1201"/>
      <c r="C1" s="1201"/>
      <c r="D1" s="1201"/>
      <c r="E1" s="1201"/>
      <c r="F1" s="1201"/>
      <c r="G1" s="1201"/>
      <c r="H1" s="1201"/>
      <c r="I1" s="1201"/>
      <c r="J1" s="1201"/>
      <c r="K1" s="1201"/>
      <c r="L1" s="1201"/>
      <c r="M1" s="1201"/>
      <c r="N1" s="1201"/>
      <c r="Q1" s="185"/>
      <c r="R1" s="185"/>
      <c r="S1" s="185"/>
      <c r="T1" s="185"/>
      <c r="U1" s="185"/>
      <c r="V1" s="182"/>
      <c r="W1" s="182"/>
      <c r="X1" s="182"/>
      <c r="Y1" s="182"/>
      <c r="Z1" s="182"/>
      <c r="AA1" s="182"/>
      <c r="AB1" s="182"/>
      <c r="AC1" s="182"/>
      <c r="AD1" s="182"/>
      <c r="AE1" s="182"/>
      <c r="AF1" s="182"/>
      <c r="AG1" s="182"/>
      <c r="AH1" s="182"/>
      <c r="AI1" s="182"/>
      <c r="AJ1" s="182"/>
      <c r="AK1" s="1202" t="s">
        <v>1</v>
      </c>
      <c r="AL1" s="1202"/>
      <c r="AM1" s="1202"/>
      <c r="AN1" s="1202"/>
      <c r="AO1" s="1202"/>
      <c r="AP1" s="1202"/>
      <c r="AQ1" s="182"/>
    </row>
    <row r="2" spans="1:43" s="28" customFormat="1" ht="26.25" customHeight="1">
      <c r="A2" s="1203" t="s">
        <v>2</v>
      </c>
      <c r="B2" s="1203"/>
      <c r="C2" s="1203"/>
      <c r="D2" s="1203"/>
      <c r="E2" s="1203"/>
      <c r="F2" s="1203"/>
      <c r="G2" s="1203"/>
      <c r="H2" s="1203"/>
      <c r="I2" s="1203"/>
      <c r="J2" s="1203"/>
      <c r="K2" s="1203"/>
      <c r="L2" s="1203"/>
      <c r="M2" s="1203"/>
      <c r="N2" s="1203"/>
      <c r="Q2" s="182"/>
      <c r="R2" s="182"/>
      <c r="S2" s="182"/>
      <c r="T2" s="182"/>
      <c r="U2" s="182"/>
      <c r="V2" s="182"/>
      <c r="W2" s="182"/>
      <c r="X2" s="182"/>
      <c r="Y2" s="182"/>
      <c r="Z2" s="182"/>
      <c r="AA2" s="182"/>
      <c r="AB2" s="182"/>
      <c r="AC2" s="182"/>
      <c r="AD2" s="182"/>
      <c r="AE2" s="182"/>
      <c r="AF2" s="182"/>
      <c r="AG2" s="182"/>
      <c r="AH2" s="182"/>
      <c r="AI2" s="182"/>
      <c r="AJ2" s="182"/>
      <c r="AK2" s="1204" t="s">
        <v>3</v>
      </c>
      <c r="AL2" s="1204"/>
      <c r="AM2" s="1204"/>
      <c r="AN2" s="1204"/>
      <c r="AO2" s="1204"/>
      <c r="AP2" s="1204"/>
      <c r="AQ2" s="182"/>
    </row>
    <row r="3" spans="1:43" s="28" customFormat="1" ht="25.5" customHeight="1">
      <c r="A3" s="1205" t="s">
        <v>4</v>
      </c>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row>
    <row r="4" spans="1:43" s="29" customFormat="1" ht="46.9" customHeight="1">
      <c r="A4" s="1199" t="s">
        <v>5</v>
      </c>
      <c r="B4" s="1199"/>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c r="AC4" s="1199"/>
      <c r="AD4" s="1199"/>
      <c r="AE4" s="1199"/>
      <c r="AF4" s="1199"/>
      <c r="AG4" s="1199"/>
      <c r="AH4" s="1199"/>
      <c r="AI4" s="1199"/>
      <c r="AJ4" s="1199"/>
      <c r="AK4" s="1199"/>
      <c r="AL4" s="1199"/>
      <c r="AM4" s="1199"/>
      <c r="AN4" s="1199"/>
      <c r="AO4" s="1199"/>
      <c r="AP4" s="1199"/>
      <c r="AQ4" s="1199"/>
    </row>
    <row r="5" spans="1:43" s="28" customFormat="1" ht="27" customHeight="1">
      <c r="A5" s="1200" t="s">
        <v>6</v>
      </c>
      <c r="B5" s="1200"/>
      <c r="C5" s="1200"/>
      <c r="D5" s="1200"/>
      <c r="E5" s="1200"/>
      <c r="F5" s="1200"/>
      <c r="G5" s="1200"/>
      <c r="H5" s="1200"/>
      <c r="I5" s="1200"/>
      <c r="J5" s="1200"/>
      <c r="K5" s="1200"/>
      <c r="L5" s="1200"/>
      <c r="M5" s="1200"/>
      <c r="N5" s="1200"/>
      <c r="O5" s="1200"/>
      <c r="P5" s="1200"/>
      <c r="Q5" s="1200"/>
      <c r="R5" s="1200"/>
      <c r="S5" s="1200"/>
      <c r="T5" s="1200"/>
      <c r="U5" s="1200"/>
      <c r="V5" s="1200"/>
      <c r="W5" s="1200"/>
      <c r="X5" s="1200"/>
      <c r="Y5" s="1200"/>
      <c r="Z5" s="1200"/>
      <c r="AA5" s="1200"/>
      <c r="AB5" s="1200"/>
      <c r="AC5" s="1200"/>
      <c r="AD5" s="1200"/>
      <c r="AE5" s="1200"/>
      <c r="AF5" s="1200"/>
      <c r="AG5" s="1200"/>
      <c r="AH5" s="1200"/>
      <c r="AI5" s="1200"/>
      <c r="AJ5" s="1200"/>
      <c r="AK5" s="1200"/>
      <c r="AL5" s="1200"/>
      <c r="AM5" s="1200"/>
      <c r="AN5" s="1200"/>
      <c r="AO5" s="1200"/>
      <c r="AP5" s="1200"/>
      <c r="AQ5" s="1200"/>
    </row>
    <row r="6" spans="1:43" s="30" customFormat="1" ht="41.65" customHeight="1">
      <c r="A6" s="1197" t="s">
        <v>7</v>
      </c>
      <c r="B6" s="1197" t="s">
        <v>8</v>
      </c>
      <c r="C6" s="1197" t="s">
        <v>9</v>
      </c>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t="s">
        <v>10</v>
      </c>
      <c r="AB6" s="1197"/>
      <c r="AC6" s="1197"/>
      <c r="AD6" s="1197"/>
      <c r="AE6" s="1197"/>
      <c r="AF6" s="1197"/>
      <c r="AG6" s="1197"/>
      <c r="AH6" s="1197"/>
      <c r="AI6" s="1197"/>
      <c r="AJ6" s="1197"/>
      <c r="AK6" s="1197"/>
      <c r="AL6" s="1197"/>
      <c r="AM6" s="1197"/>
      <c r="AN6" s="1197"/>
      <c r="AO6" s="1197"/>
      <c r="AP6" s="1197"/>
      <c r="AQ6" s="1197" t="s">
        <v>11</v>
      </c>
    </row>
    <row r="7" spans="1:43" s="30" customFormat="1" ht="41.65" customHeight="1">
      <c r="A7" s="1197"/>
      <c r="B7" s="1197"/>
      <c r="C7" s="1197" t="s">
        <v>12</v>
      </c>
      <c r="D7" s="1197"/>
      <c r="E7" s="1197"/>
      <c r="F7" s="1197"/>
      <c r="G7" s="1197"/>
      <c r="H7" s="1197"/>
      <c r="I7" s="1197"/>
      <c r="J7" s="1197"/>
      <c r="K7" s="1197" t="s">
        <v>13</v>
      </c>
      <c r="L7" s="1197"/>
      <c r="M7" s="1197"/>
      <c r="N7" s="1197"/>
      <c r="O7" s="1197"/>
      <c r="P7" s="1197"/>
      <c r="Q7" s="1197"/>
      <c r="R7" s="1197"/>
      <c r="S7" s="1197" t="s">
        <v>14</v>
      </c>
      <c r="T7" s="1197"/>
      <c r="U7" s="1197"/>
      <c r="V7" s="1197"/>
      <c r="W7" s="1197"/>
      <c r="X7" s="1197"/>
      <c r="Y7" s="1197"/>
      <c r="Z7" s="1197"/>
      <c r="AA7" s="1197" t="s">
        <v>15</v>
      </c>
      <c r="AB7" s="1197"/>
      <c r="AC7" s="1197"/>
      <c r="AD7" s="1197"/>
      <c r="AE7" s="1197"/>
      <c r="AF7" s="1197"/>
      <c r="AG7" s="1197"/>
      <c r="AH7" s="1197"/>
      <c r="AI7" s="1197" t="s">
        <v>16</v>
      </c>
      <c r="AJ7" s="1197"/>
      <c r="AK7" s="1197"/>
      <c r="AL7" s="1197"/>
      <c r="AM7" s="1197"/>
      <c r="AN7" s="1197"/>
      <c r="AO7" s="1197"/>
      <c r="AP7" s="1197"/>
      <c r="AQ7" s="1197"/>
    </row>
    <row r="8" spans="1:43" s="30" customFormat="1" ht="41.65" customHeight="1">
      <c r="A8" s="1197"/>
      <c r="B8" s="1197"/>
      <c r="C8" s="1197" t="s">
        <v>17</v>
      </c>
      <c r="D8" s="1197" t="s">
        <v>18</v>
      </c>
      <c r="E8" s="1197"/>
      <c r="F8" s="1197" t="s">
        <v>19</v>
      </c>
      <c r="G8" s="1197" t="s">
        <v>20</v>
      </c>
      <c r="H8" s="1197" t="s">
        <v>21</v>
      </c>
      <c r="I8" s="1197" t="s">
        <v>22</v>
      </c>
      <c r="J8" s="1197" t="s">
        <v>23</v>
      </c>
      <c r="K8" s="1197" t="s">
        <v>17</v>
      </c>
      <c r="L8" s="1197" t="s">
        <v>18</v>
      </c>
      <c r="M8" s="1197"/>
      <c r="N8" s="1197" t="s">
        <v>19</v>
      </c>
      <c r="O8" s="1197" t="s">
        <v>20</v>
      </c>
      <c r="P8" s="1197" t="s">
        <v>21</v>
      </c>
      <c r="Q8" s="1197" t="s">
        <v>22</v>
      </c>
      <c r="R8" s="1197" t="s">
        <v>23</v>
      </c>
      <c r="S8" s="1197" t="s">
        <v>17</v>
      </c>
      <c r="T8" s="1197" t="s">
        <v>18</v>
      </c>
      <c r="U8" s="1197"/>
      <c r="V8" s="1197" t="s">
        <v>19</v>
      </c>
      <c r="W8" s="1197" t="s">
        <v>20</v>
      </c>
      <c r="X8" s="1197" t="s">
        <v>21</v>
      </c>
      <c r="Y8" s="1197" t="s">
        <v>24</v>
      </c>
      <c r="Z8" s="1197" t="s">
        <v>23</v>
      </c>
      <c r="AA8" s="1197" t="s">
        <v>17</v>
      </c>
      <c r="AB8" s="1197" t="s">
        <v>18</v>
      </c>
      <c r="AC8" s="1197"/>
      <c r="AD8" s="1197" t="s">
        <v>19</v>
      </c>
      <c r="AE8" s="1197" t="s">
        <v>20</v>
      </c>
      <c r="AF8" s="1197" t="s">
        <v>21</v>
      </c>
      <c r="AG8" s="1197" t="s">
        <v>24</v>
      </c>
      <c r="AH8" s="1197" t="s">
        <v>23</v>
      </c>
      <c r="AI8" s="1197" t="s">
        <v>17</v>
      </c>
      <c r="AJ8" s="1197" t="s">
        <v>18</v>
      </c>
      <c r="AK8" s="1197"/>
      <c r="AL8" s="1197" t="s">
        <v>19</v>
      </c>
      <c r="AM8" s="1197" t="s">
        <v>20</v>
      </c>
      <c r="AN8" s="1197" t="s">
        <v>21</v>
      </c>
      <c r="AO8" s="1197" t="s">
        <v>24</v>
      </c>
      <c r="AP8" s="1197" t="s">
        <v>23</v>
      </c>
      <c r="AQ8" s="1197"/>
    </row>
    <row r="9" spans="1:43" s="30" customFormat="1" ht="132" customHeight="1">
      <c r="A9" s="1197"/>
      <c r="B9" s="1197"/>
      <c r="C9" s="1197"/>
      <c r="D9" s="38" t="s">
        <v>25</v>
      </c>
      <c r="E9" s="38" t="s">
        <v>26</v>
      </c>
      <c r="F9" s="1197"/>
      <c r="G9" s="1197"/>
      <c r="H9" s="1197"/>
      <c r="I9" s="1197"/>
      <c r="J9" s="1197"/>
      <c r="K9" s="1197"/>
      <c r="L9" s="38" t="s">
        <v>25</v>
      </c>
      <c r="M9" s="38" t="s">
        <v>26</v>
      </c>
      <c r="N9" s="1197"/>
      <c r="O9" s="1197"/>
      <c r="P9" s="1197"/>
      <c r="Q9" s="1197"/>
      <c r="R9" s="1197"/>
      <c r="S9" s="1197"/>
      <c r="T9" s="38" t="s">
        <v>25</v>
      </c>
      <c r="U9" s="38" t="s">
        <v>26</v>
      </c>
      <c r="V9" s="1197"/>
      <c r="W9" s="1197"/>
      <c r="X9" s="1197"/>
      <c r="Y9" s="1197"/>
      <c r="Z9" s="1197"/>
      <c r="AA9" s="1197"/>
      <c r="AB9" s="38" t="s">
        <v>25</v>
      </c>
      <c r="AC9" s="38" t="s">
        <v>26</v>
      </c>
      <c r="AD9" s="1197"/>
      <c r="AE9" s="1197"/>
      <c r="AF9" s="1197"/>
      <c r="AG9" s="1197"/>
      <c r="AH9" s="1197"/>
      <c r="AI9" s="1197"/>
      <c r="AJ9" s="38" t="s">
        <v>25</v>
      </c>
      <c r="AK9" s="38" t="s">
        <v>26</v>
      </c>
      <c r="AL9" s="1197"/>
      <c r="AM9" s="1197"/>
      <c r="AN9" s="1197"/>
      <c r="AO9" s="1197"/>
      <c r="AP9" s="1197"/>
      <c r="AQ9" s="1197"/>
    </row>
    <row r="10" spans="1:43" s="31" customFormat="1" ht="24" customHeight="1">
      <c r="A10" s="40">
        <v>1</v>
      </c>
      <c r="B10" s="40">
        <v>2</v>
      </c>
      <c r="C10" s="40">
        <v>3</v>
      </c>
      <c r="D10" s="40">
        <v>4</v>
      </c>
      <c r="E10" s="40">
        <v>5</v>
      </c>
      <c r="F10" s="40">
        <v>6</v>
      </c>
      <c r="G10" s="40">
        <v>7</v>
      </c>
      <c r="H10" s="40">
        <v>8</v>
      </c>
      <c r="I10" s="40">
        <v>9</v>
      </c>
      <c r="J10" s="40">
        <v>10</v>
      </c>
      <c r="K10" s="40">
        <v>11</v>
      </c>
      <c r="L10" s="40">
        <v>12</v>
      </c>
      <c r="M10" s="40">
        <v>13</v>
      </c>
      <c r="N10" s="40">
        <v>14</v>
      </c>
      <c r="O10" s="40">
        <v>15</v>
      </c>
      <c r="P10" s="40">
        <v>16</v>
      </c>
      <c r="Q10" s="40">
        <v>17</v>
      </c>
      <c r="R10" s="40">
        <v>18</v>
      </c>
      <c r="S10" s="40">
        <v>19</v>
      </c>
      <c r="T10" s="40">
        <v>20</v>
      </c>
      <c r="U10" s="40">
        <v>21</v>
      </c>
      <c r="V10" s="40">
        <v>22</v>
      </c>
      <c r="W10" s="40">
        <v>23</v>
      </c>
      <c r="X10" s="40">
        <v>24</v>
      </c>
      <c r="Y10" s="40">
        <v>25</v>
      </c>
      <c r="Z10" s="40">
        <v>26</v>
      </c>
      <c r="AA10" s="40">
        <v>27</v>
      </c>
      <c r="AB10" s="40">
        <v>28</v>
      </c>
      <c r="AC10" s="40">
        <v>29</v>
      </c>
      <c r="AD10" s="40">
        <v>30</v>
      </c>
      <c r="AE10" s="40">
        <v>31</v>
      </c>
      <c r="AF10" s="40">
        <v>32</v>
      </c>
      <c r="AG10" s="40">
        <v>33</v>
      </c>
      <c r="AH10" s="40">
        <v>34</v>
      </c>
      <c r="AI10" s="40">
        <v>35</v>
      </c>
      <c r="AJ10" s="40">
        <v>36</v>
      </c>
      <c r="AK10" s="40">
        <v>37</v>
      </c>
      <c r="AL10" s="40">
        <v>38</v>
      </c>
      <c r="AM10" s="40">
        <v>39</v>
      </c>
      <c r="AN10" s="40">
        <v>40</v>
      </c>
      <c r="AO10" s="40">
        <v>41</v>
      </c>
      <c r="AP10" s="40">
        <v>42</v>
      </c>
      <c r="AQ10" s="40">
        <v>43</v>
      </c>
    </row>
    <row r="11" spans="1:43" ht="36" customHeight="1">
      <c r="A11" s="38"/>
      <c r="B11" s="41" t="s">
        <v>27</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6"/>
    </row>
    <row r="12" spans="1:43" s="32" customFormat="1" ht="37.5">
      <c r="A12" s="188" t="s">
        <v>28</v>
      </c>
      <c r="B12" s="42" t="s">
        <v>29</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51"/>
      <c r="AH12" s="51"/>
      <c r="AI12" s="51"/>
      <c r="AJ12" s="51"/>
      <c r="AK12" s="51"/>
      <c r="AL12" s="51"/>
      <c r="AM12" s="51"/>
      <c r="AN12" s="51"/>
      <c r="AO12" s="51"/>
      <c r="AP12" s="51"/>
      <c r="AQ12" s="51"/>
    </row>
    <row r="13" spans="1:43" s="32" customFormat="1">
      <c r="A13" s="188" t="s">
        <v>30</v>
      </c>
      <c r="B13" s="42" t="s">
        <v>31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51"/>
      <c r="AH13" s="51"/>
      <c r="AI13" s="51"/>
      <c r="AJ13" s="51"/>
      <c r="AK13" s="51"/>
      <c r="AL13" s="51"/>
      <c r="AM13" s="51"/>
      <c r="AN13" s="51"/>
      <c r="AO13" s="51"/>
      <c r="AP13" s="51"/>
      <c r="AQ13" s="51"/>
    </row>
    <row r="14" spans="1:43" s="32" customFormat="1">
      <c r="A14" s="188" t="s">
        <v>32</v>
      </c>
      <c r="B14" s="42" t="s">
        <v>33</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51"/>
      <c r="AH14" s="51"/>
      <c r="AI14" s="51"/>
      <c r="AJ14" s="51"/>
      <c r="AK14" s="51"/>
      <c r="AL14" s="51"/>
      <c r="AM14" s="51"/>
      <c r="AN14" s="51"/>
      <c r="AO14" s="51"/>
      <c r="AP14" s="51"/>
      <c r="AQ14" s="51"/>
    </row>
    <row r="15" spans="1:43" s="32" customFormat="1">
      <c r="A15" s="188" t="s">
        <v>34</v>
      </c>
      <c r="B15" s="42" t="s">
        <v>35</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51"/>
      <c r="AH15" s="51"/>
      <c r="AI15" s="51"/>
      <c r="AJ15" s="51"/>
      <c r="AK15" s="51"/>
      <c r="AL15" s="51"/>
      <c r="AM15" s="51"/>
      <c r="AN15" s="51"/>
      <c r="AO15" s="51"/>
      <c r="AP15" s="51"/>
      <c r="AQ15" s="51"/>
    </row>
    <row r="16" spans="1:43" s="180" customFormat="1" ht="37.5">
      <c r="A16" s="188" t="s">
        <v>36</v>
      </c>
      <c r="B16" s="42" t="s">
        <v>37</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6"/>
      <c r="AH16" s="186"/>
      <c r="AI16" s="186"/>
      <c r="AJ16" s="186"/>
      <c r="AK16" s="186"/>
      <c r="AL16" s="186"/>
      <c r="AM16" s="186"/>
      <c r="AN16" s="186"/>
      <c r="AO16" s="186"/>
      <c r="AP16" s="186"/>
      <c r="AQ16" s="186"/>
    </row>
    <row r="17" spans="1:43" s="32" customFormat="1">
      <c r="A17" s="188" t="s">
        <v>38</v>
      </c>
      <c r="B17" s="42" t="s">
        <v>39</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51"/>
      <c r="AH17" s="51"/>
      <c r="AI17" s="51"/>
      <c r="AJ17" s="51"/>
      <c r="AK17" s="51"/>
      <c r="AL17" s="51"/>
      <c r="AM17" s="51"/>
      <c r="AN17" s="51"/>
      <c r="AO17" s="51"/>
      <c r="AP17" s="51"/>
      <c r="AQ17" s="51"/>
    </row>
    <row r="18" spans="1:43" s="32" customFormat="1">
      <c r="A18" s="188" t="s">
        <v>40</v>
      </c>
      <c r="B18" s="42" t="s">
        <v>41</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51"/>
      <c r="AH18" s="51"/>
      <c r="AI18" s="51"/>
      <c r="AJ18" s="51"/>
      <c r="AK18" s="51"/>
      <c r="AL18" s="51"/>
      <c r="AM18" s="51"/>
      <c r="AN18" s="51"/>
      <c r="AO18" s="51"/>
      <c r="AP18" s="51"/>
      <c r="AQ18" s="51"/>
    </row>
    <row r="19" spans="1:43" s="32" customFormat="1">
      <c r="A19" s="188" t="s">
        <v>42</v>
      </c>
      <c r="B19" s="42" t="s">
        <v>43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51"/>
      <c r="AH19" s="51"/>
      <c r="AI19" s="51"/>
      <c r="AJ19" s="51"/>
      <c r="AK19" s="51"/>
      <c r="AL19" s="51"/>
      <c r="AM19" s="51"/>
      <c r="AN19" s="51"/>
      <c r="AO19" s="51"/>
      <c r="AP19" s="51"/>
      <c r="AQ19" s="51"/>
    </row>
    <row r="20" spans="1:43" s="32" customFormat="1">
      <c r="A20" s="188" t="s">
        <v>44</v>
      </c>
      <c r="B20" s="42" t="s">
        <v>45</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51"/>
      <c r="AH20" s="51"/>
      <c r="AI20" s="51"/>
      <c r="AJ20" s="51"/>
      <c r="AK20" s="51"/>
      <c r="AL20" s="51"/>
      <c r="AM20" s="51"/>
      <c r="AN20" s="51"/>
      <c r="AO20" s="51"/>
      <c r="AP20" s="51"/>
      <c r="AQ20" s="51"/>
    </row>
    <row r="21" spans="1:43" s="180" customFormat="1">
      <c r="A21" s="188" t="s">
        <v>46</v>
      </c>
      <c r="B21" s="42" t="s">
        <v>47</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6"/>
      <c r="AH21" s="186"/>
      <c r="AI21" s="186"/>
      <c r="AJ21" s="186"/>
      <c r="AK21" s="186"/>
      <c r="AL21" s="186"/>
      <c r="AM21" s="186"/>
      <c r="AN21" s="186"/>
      <c r="AO21" s="186"/>
      <c r="AP21" s="186"/>
      <c r="AQ21" s="186"/>
    </row>
    <row r="22" spans="1:43" s="180" customFormat="1">
      <c r="A22" s="188" t="s">
        <v>48</v>
      </c>
      <c r="B22" s="42" t="s">
        <v>49</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6"/>
      <c r="AH22" s="186"/>
      <c r="AI22" s="186"/>
      <c r="AJ22" s="186"/>
      <c r="AK22" s="186"/>
      <c r="AL22" s="186"/>
      <c r="AM22" s="186"/>
      <c r="AN22" s="186"/>
      <c r="AO22" s="186"/>
      <c r="AP22" s="186"/>
      <c r="AQ22" s="186"/>
    </row>
    <row r="23" spans="1:43" s="32" customFormat="1">
      <c r="A23" s="188" t="s">
        <v>50</v>
      </c>
      <c r="B23" s="42" t="s">
        <v>51</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51"/>
      <c r="AH23" s="51"/>
      <c r="AI23" s="51"/>
      <c r="AJ23" s="51"/>
      <c r="AK23" s="51"/>
      <c r="AL23" s="51"/>
      <c r="AM23" s="51"/>
      <c r="AN23" s="51"/>
      <c r="AO23" s="51"/>
      <c r="AP23" s="51"/>
      <c r="AQ23" s="51"/>
    </row>
    <row r="24" spans="1:43" s="32" customFormat="1">
      <c r="A24" s="188" t="s">
        <v>52</v>
      </c>
      <c r="B24" s="42" t="s">
        <v>53</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51"/>
      <c r="AH24" s="51"/>
      <c r="AI24" s="51"/>
      <c r="AJ24" s="51"/>
      <c r="AK24" s="51"/>
      <c r="AL24" s="51"/>
      <c r="AM24" s="51"/>
      <c r="AN24" s="51"/>
      <c r="AO24" s="51"/>
      <c r="AP24" s="51"/>
      <c r="AQ24" s="51"/>
    </row>
    <row r="25" spans="1:43" s="181" customFormat="1" ht="37.5">
      <c r="A25" s="188" t="s">
        <v>54</v>
      </c>
      <c r="B25" s="42" t="s">
        <v>55</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7"/>
      <c r="AH25" s="187"/>
      <c r="AI25" s="187"/>
      <c r="AJ25" s="187"/>
      <c r="AK25" s="187"/>
      <c r="AL25" s="187"/>
      <c r="AM25" s="187"/>
      <c r="AN25" s="187"/>
      <c r="AO25" s="187"/>
      <c r="AP25" s="187"/>
      <c r="AQ25" s="187"/>
    </row>
    <row r="26" spans="1:43" s="32" customFormat="1" ht="37.5">
      <c r="A26" s="188" t="s">
        <v>56</v>
      </c>
      <c r="B26" s="42" t="s">
        <v>57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51"/>
      <c r="AH26" s="51"/>
      <c r="AI26" s="51"/>
      <c r="AJ26" s="51"/>
      <c r="AK26" s="51"/>
      <c r="AL26" s="51"/>
      <c r="AM26" s="51"/>
      <c r="AN26" s="51"/>
      <c r="AO26" s="51"/>
      <c r="AP26" s="51"/>
      <c r="AQ26" s="51"/>
    </row>
    <row r="27" spans="1:43" s="32" customFormat="1">
      <c r="A27" s="188" t="s">
        <v>58</v>
      </c>
      <c r="B27" s="42" t="s">
        <v>59</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51"/>
      <c r="AH27" s="51"/>
      <c r="AI27" s="51"/>
      <c r="AJ27" s="51"/>
      <c r="AK27" s="51"/>
      <c r="AL27" s="51"/>
      <c r="AM27" s="51"/>
      <c r="AN27" s="51"/>
      <c r="AO27" s="51"/>
      <c r="AP27" s="51"/>
      <c r="AQ27" s="51"/>
    </row>
    <row r="28" spans="1:43" s="32" customFormat="1">
      <c r="A28" s="188" t="s">
        <v>60</v>
      </c>
      <c r="B28" s="42" t="s">
        <v>61</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51"/>
      <c r="AH28" s="51"/>
      <c r="AI28" s="51"/>
      <c r="AJ28" s="51"/>
      <c r="AK28" s="51"/>
      <c r="AL28" s="51"/>
      <c r="AM28" s="51"/>
      <c r="AN28" s="51"/>
      <c r="AO28" s="51"/>
      <c r="AP28" s="51"/>
      <c r="AQ28" s="51"/>
    </row>
    <row r="29" spans="1:43" s="32" customFormat="1">
      <c r="A29" s="188" t="s">
        <v>62</v>
      </c>
      <c r="B29" s="42" t="s">
        <v>63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51"/>
      <c r="AH29" s="51"/>
      <c r="AI29" s="51"/>
      <c r="AJ29" s="51"/>
      <c r="AK29" s="51"/>
      <c r="AL29" s="51"/>
      <c r="AM29" s="51"/>
      <c r="AN29" s="51"/>
      <c r="AO29" s="51"/>
      <c r="AP29" s="51"/>
      <c r="AQ29" s="51"/>
    </row>
    <row r="30" spans="1:43" s="32" customFormat="1">
      <c r="A30" s="188" t="s">
        <v>64</v>
      </c>
      <c r="B30" s="42" t="s">
        <v>65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51"/>
      <c r="AH30" s="51"/>
      <c r="AI30" s="51"/>
      <c r="AJ30" s="51"/>
      <c r="AK30" s="51"/>
      <c r="AL30" s="51"/>
      <c r="AM30" s="51"/>
      <c r="AN30" s="51"/>
      <c r="AO30" s="51"/>
      <c r="AP30" s="51"/>
      <c r="AQ30" s="51"/>
    </row>
    <row r="31" spans="1:43" s="32" customFormat="1" hidden="1">
      <c r="A31" s="188" t="s">
        <v>66</v>
      </c>
      <c r="B31" s="42" t="s">
        <v>67</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51"/>
      <c r="AH31" s="51"/>
      <c r="AI31" s="51"/>
      <c r="AJ31" s="51"/>
      <c r="AK31" s="51"/>
      <c r="AL31" s="51"/>
      <c r="AM31" s="51"/>
      <c r="AN31" s="51"/>
      <c r="AO31" s="51"/>
      <c r="AP31" s="51"/>
      <c r="AQ31" s="51"/>
    </row>
    <row r="32" spans="1:43" ht="6" customHeight="1">
      <c r="A32" s="38"/>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row>
    <row r="33" spans="1:43" s="35" customFormat="1" ht="96.4" customHeight="1">
      <c r="A33" s="47"/>
      <c r="B33" s="1198" t="s">
        <v>68</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8"/>
      <c r="AL33" s="1198"/>
      <c r="AM33" s="1198"/>
      <c r="AN33" s="1198"/>
      <c r="AO33" s="1198"/>
      <c r="AP33" s="1198"/>
      <c r="AQ33" s="1198"/>
    </row>
  </sheetData>
  <mergeCells count="53">
    <mergeCell ref="A1:N1"/>
    <mergeCell ref="AK1:AP1"/>
    <mergeCell ref="A2:N2"/>
    <mergeCell ref="AK2:AP2"/>
    <mergeCell ref="A3:AQ3"/>
    <mergeCell ref="A4:AQ4"/>
    <mergeCell ref="A5:AQ5"/>
    <mergeCell ref="C6:Z6"/>
    <mergeCell ref="AA6:AP6"/>
    <mergeCell ref="C7:J7"/>
    <mergeCell ref="K7:R7"/>
    <mergeCell ref="S7:Z7"/>
    <mergeCell ref="AA7:AH7"/>
    <mergeCell ref="AI7:AP7"/>
    <mergeCell ref="D8:E8"/>
    <mergeCell ref="L8:M8"/>
    <mergeCell ref="T8:U8"/>
    <mergeCell ref="AB8:AC8"/>
    <mergeCell ref="AJ8:AK8"/>
    <mergeCell ref="V8:V9"/>
    <mergeCell ref="W8:W9"/>
    <mergeCell ref="X8:X9"/>
    <mergeCell ref="Y8:Y9"/>
    <mergeCell ref="Z8:Z9"/>
    <mergeCell ref="AA8:AA9"/>
    <mergeCell ref="AD8:AD9"/>
    <mergeCell ref="AE8:AE9"/>
    <mergeCell ref="AF8:AF9"/>
    <mergeCell ref="AG8:AG9"/>
    <mergeCell ref="AH8:AH9"/>
    <mergeCell ref="B33:AQ33"/>
    <mergeCell ref="A6:A9"/>
    <mergeCell ref="B6:B9"/>
    <mergeCell ref="C8:C9"/>
    <mergeCell ref="F8:F9"/>
    <mergeCell ref="G8:G9"/>
    <mergeCell ref="H8:H9"/>
    <mergeCell ref="I8:I9"/>
    <mergeCell ref="J8:J9"/>
    <mergeCell ref="K8:K9"/>
    <mergeCell ref="N8:N9"/>
    <mergeCell ref="O8:O9"/>
    <mergeCell ref="P8:P9"/>
    <mergeCell ref="Q8:Q9"/>
    <mergeCell ref="R8:R9"/>
    <mergeCell ref="S8:S9"/>
    <mergeCell ref="AP8:AP9"/>
    <mergeCell ref="AQ6:AQ9"/>
    <mergeCell ref="AI8:AI9"/>
    <mergeCell ref="AL8:AL9"/>
    <mergeCell ref="AM8:AM9"/>
    <mergeCell ref="AN8:AN9"/>
    <mergeCell ref="AO8:AO9"/>
  </mergeCells>
  <printOptions horizontalCentered="1"/>
  <pageMargins left="0.23622047244094499" right="0.23622047244094499" top="0.74803149606299202" bottom="0.74803149606299202" header="0.31496062992126" footer="0.31496062992126"/>
  <pageSetup paperSize="8" scale="48" fitToWidth="0" fitToHeight="0" pageOrder="overThenDown" orientation="landscape" useFirstPageNumber="1"/>
  <headerFooter differentFirst="1">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XEJ35"/>
  <sheetViews>
    <sheetView tabSelected="1" zoomScale="65" zoomScaleNormal="65" workbookViewId="0">
      <selection activeCell="I30" sqref="I30"/>
    </sheetView>
  </sheetViews>
  <sheetFormatPr defaultColWidth="9.140625" defaultRowHeight="18.75"/>
  <cols>
    <col min="1" max="1" width="13.85546875" style="1419" customWidth="1"/>
    <col min="2" max="2" width="55.140625" style="513" customWidth="1"/>
    <col min="3" max="3" width="23.140625" style="513" customWidth="1"/>
    <col min="4" max="5" width="20.28515625" style="513" customWidth="1"/>
    <col min="6" max="6" width="23.42578125" style="513" customWidth="1"/>
    <col min="7" max="8" width="20.140625" style="513" customWidth="1"/>
    <col min="9" max="9" width="34.85546875" style="513" customWidth="1"/>
    <col min="10" max="16384" width="9.140625" style="513"/>
  </cols>
  <sheetData>
    <row r="1" spans="1:16364" ht="29.25" customHeight="1">
      <c r="A1" s="1307" t="s">
        <v>3254</v>
      </c>
      <c r="B1" s="1307"/>
      <c r="C1" s="1307"/>
      <c r="D1" s="1307"/>
      <c r="E1" s="1307"/>
      <c r="F1" s="1307"/>
      <c r="G1" s="1307"/>
      <c r="H1" s="1307"/>
      <c r="I1" s="1307"/>
    </row>
    <row r="2" spans="1:16364" s="34" customFormat="1" ht="27" customHeight="1">
      <c r="A2" s="1412" t="s">
        <v>3255</v>
      </c>
      <c r="B2" s="1412"/>
      <c r="C2" s="1412"/>
      <c r="D2" s="1412"/>
      <c r="E2" s="1412"/>
      <c r="F2" s="1412"/>
      <c r="G2" s="1412"/>
      <c r="H2" s="1412"/>
      <c r="I2" s="1412"/>
    </row>
    <row r="3" spans="1:16364" s="34" customFormat="1" ht="28.5" customHeight="1">
      <c r="A3" s="1413" t="s">
        <v>2378</v>
      </c>
      <c r="B3" s="1412"/>
      <c r="C3" s="1412"/>
      <c r="D3" s="1412"/>
      <c r="E3" s="1412"/>
      <c r="F3" s="1412"/>
      <c r="G3" s="1412"/>
      <c r="H3" s="1412"/>
      <c r="I3" s="1412"/>
    </row>
    <row r="4" spans="1:16364" ht="39.75" customHeight="1">
      <c r="A4" s="1414" t="s">
        <v>6</v>
      </c>
      <c r="B4" s="1414"/>
      <c r="C4" s="1414"/>
      <c r="D4" s="1414"/>
      <c r="E4" s="1414"/>
      <c r="F4" s="1414"/>
      <c r="G4" s="1414"/>
      <c r="H4" s="1414"/>
      <c r="I4" s="1414"/>
    </row>
    <row r="5" spans="1:16364" s="1419" customFormat="1" ht="63" customHeight="1">
      <c r="A5" s="1415"/>
      <c r="B5" s="1415"/>
      <c r="C5" s="1417" t="s">
        <v>3280</v>
      </c>
      <c r="D5" s="1417"/>
      <c r="E5" s="1418"/>
      <c r="F5" s="1417" t="s">
        <v>3281</v>
      </c>
      <c r="G5" s="1417"/>
      <c r="H5" s="1418"/>
      <c r="I5" s="1415" t="s">
        <v>11</v>
      </c>
    </row>
    <row r="6" spans="1:16364" s="1419" customFormat="1" ht="37.5" customHeight="1">
      <c r="A6" s="1415"/>
      <c r="B6" s="1415"/>
      <c r="C6" s="1420" t="s">
        <v>3256</v>
      </c>
      <c r="D6" s="1416" t="s">
        <v>75</v>
      </c>
      <c r="E6" s="1418"/>
      <c r="F6" s="1420" t="s">
        <v>3256</v>
      </c>
      <c r="G6" s="1416" t="s">
        <v>82</v>
      </c>
      <c r="H6" s="1418"/>
      <c r="I6" s="1415"/>
    </row>
    <row r="7" spans="1:16364" s="1419" customFormat="1" ht="59.25" customHeight="1">
      <c r="A7" s="1415"/>
      <c r="B7" s="1415"/>
      <c r="C7" s="1421"/>
      <c r="D7" s="1422" t="s">
        <v>568</v>
      </c>
      <c r="E7" s="1422" t="s">
        <v>3257</v>
      </c>
      <c r="F7" s="1421"/>
      <c r="G7" s="1422" t="s">
        <v>568</v>
      </c>
      <c r="H7" s="1422" t="s">
        <v>3258</v>
      </c>
      <c r="I7" s="1415"/>
    </row>
    <row r="8" spans="1:16364" s="1424" customFormat="1">
      <c r="A8" s="1423">
        <v>1</v>
      </c>
      <c r="B8" s="1423">
        <v>2</v>
      </c>
      <c r="C8" s="1423">
        <v>3</v>
      </c>
      <c r="D8" s="1423">
        <v>4</v>
      </c>
      <c r="E8" s="1423">
        <v>5</v>
      </c>
      <c r="F8" s="1423">
        <v>6</v>
      </c>
      <c r="G8" s="1423">
        <v>7</v>
      </c>
      <c r="H8" s="1423">
        <v>8</v>
      </c>
      <c r="I8" s="1423">
        <v>9</v>
      </c>
    </row>
    <row r="9" spans="1:16364" s="1428" customFormat="1" ht="51" customHeight="1">
      <c r="A9" s="1425"/>
      <c r="B9" s="1426" t="s">
        <v>27</v>
      </c>
      <c r="C9" s="1427">
        <f>C10+C25</f>
        <v>24267491</v>
      </c>
      <c r="D9" s="1427">
        <f t="shared" ref="D9:H9" si="0">D10+D25</f>
        <v>21575112</v>
      </c>
      <c r="E9" s="1427">
        <f t="shared" si="0"/>
        <v>2692379</v>
      </c>
      <c r="F9" s="1427">
        <f t="shared" si="0"/>
        <v>25480582</v>
      </c>
      <c r="G9" s="1427">
        <f t="shared" si="0"/>
        <v>22788203</v>
      </c>
      <c r="H9" s="1427">
        <f t="shared" si="0"/>
        <v>2692379</v>
      </c>
      <c r="I9" s="1422"/>
    </row>
    <row r="10" spans="1:16364" s="34" customFormat="1" ht="47.25" customHeight="1">
      <c r="A10" s="1422" t="s">
        <v>95</v>
      </c>
      <c r="B10" s="45" t="s">
        <v>3276</v>
      </c>
      <c r="C10" s="1429">
        <f t="shared" ref="C10:E10" si="1">C11+C17</f>
        <v>23346482</v>
      </c>
      <c r="D10" s="1429">
        <f t="shared" si="1"/>
        <v>20654103</v>
      </c>
      <c r="E10" s="1429">
        <f t="shared" si="1"/>
        <v>2692379</v>
      </c>
      <c r="F10" s="1429">
        <f>F11+F17</f>
        <v>24084867</v>
      </c>
      <c r="G10" s="1429">
        <f>G11+G17</f>
        <v>21392488</v>
      </c>
      <c r="H10" s="1429">
        <f>H11+H17</f>
        <v>2692379</v>
      </c>
      <c r="I10" s="1422"/>
    </row>
    <row r="11" spans="1:16364" s="34" customFormat="1" ht="47.25" customHeight="1">
      <c r="A11" s="1422" t="s">
        <v>356</v>
      </c>
      <c r="B11" s="45" t="s">
        <v>3259</v>
      </c>
      <c r="C11" s="1429">
        <f t="shared" ref="C11:D11" si="2">SUM(C12:C16)</f>
        <v>11612759</v>
      </c>
      <c r="D11" s="1429">
        <f t="shared" si="2"/>
        <v>11612759</v>
      </c>
      <c r="E11" s="1429"/>
      <c r="F11" s="1429">
        <f>SUM(F12:F16)</f>
        <v>12351144</v>
      </c>
      <c r="G11" s="1429">
        <f>SUM(G12:G16)</f>
        <v>12351144</v>
      </c>
      <c r="H11" s="1429"/>
      <c r="I11" s="1422"/>
    </row>
    <row r="12" spans="1:16364" s="34" customFormat="1" ht="55.5" customHeight="1">
      <c r="A12" s="223"/>
      <c r="B12" s="1438" t="s">
        <v>3260</v>
      </c>
      <c r="C12" s="1439">
        <f>D12</f>
        <v>2176398</v>
      </c>
      <c r="D12" s="1439">
        <v>2176398</v>
      </c>
      <c r="E12" s="1434"/>
      <c r="F12" s="1439">
        <f>G12</f>
        <v>2176398</v>
      </c>
      <c r="G12" s="1439">
        <f>D12</f>
        <v>2176398</v>
      </c>
      <c r="H12" s="1434"/>
      <c r="I12" s="223" t="s">
        <v>3282</v>
      </c>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3"/>
      <c r="CU12" s="513"/>
      <c r="CV12" s="513"/>
      <c r="CW12" s="513"/>
      <c r="CX12" s="513"/>
      <c r="CY12" s="513"/>
      <c r="CZ12" s="513"/>
      <c r="DA12" s="513"/>
      <c r="DB12" s="513"/>
      <c r="DC12" s="513"/>
      <c r="DD12" s="513"/>
      <c r="DE12" s="513"/>
      <c r="DF12" s="513"/>
      <c r="DG12" s="513"/>
      <c r="DH12" s="513"/>
      <c r="DI12" s="513"/>
      <c r="DJ12" s="513"/>
      <c r="DK12" s="513"/>
      <c r="DL12" s="513"/>
      <c r="DM12" s="513"/>
      <c r="DN12" s="513"/>
      <c r="DO12" s="513"/>
      <c r="DP12" s="513"/>
      <c r="DQ12" s="513"/>
      <c r="DR12" s="513"/>
      <c r="DS12" s="513"/>
      <c r="DT12" s="513"/>
      <c r="DU12" s="513"/>
      <c r="DV12" s="513"/>
      <c r="DW12" s="513"/>
      <c r="DX12" s="513"/>
      <c r="DY12" s="513"/>
      <c r="DZ12" s="513"/>
      <c r="EA12" s="513"/>
      <c r="EB12" s="513"/>
      <c r="EC12" s="513"/>
      <c r="ED12" s="513"/>
      <c r="EE12" s="513"/>
      <c r="EF12" s="513"/>
      <c r="EG12" s="513"/>
      <c r="EH12" s="513"/>
      <c r="EI12" s="513"/>
      <c r="EJ12" s="513"/>
      <c r="EK12" s="513"/>
      <c r="EL12" s="513"/>
      <c r="EM12" s="513"/>
      <c r="EN12" s="513"/>
      <c r="EO12" s="513"/>
      <c r="EP12" s="513"/>
      <c r="EQ12" s="513"/>
      <c r="ER12" s="513"/>
      <c r="ES12" s="513"/>
      <c r="ET12" s="513"/>
      <c r="EU12" s="513"/>
      <c r="EV12" s="513"/>
      <c r="EW12" s="513"/>
      <c r="EX12" s="513"/>
      <c r="EY12" s="513"/>
      <c r="EZ12" s="513"/>
      <c r="FA12" s="513"/>
      <c r="FB12" s="513"/>
      <c r="FC12" s="513"/>
      <c r="FD12" s="513"/>
      <c r="FE12" s="513"/>
      <c r="FF12" s="513"/>
      <c r="FG12" s="513"/>
      <c r="FH12" s="513"/>
      <c r="FI12" s="513"/>
      <c r="FJ12" s="513"/>
      <c r="FK12" s="513"/>
      <c r="FL12" s="513"/>
      <c r="FM12" s="513"/>
      <c r="FN12" s="513"/>
      <c r="FO12" s="513"/>
      <c r="FP12" s="513"/>
      <c r="FQ12" s="513"/>
      <c r="FR12" s="513"/>
      <c r="FS12" s="513"/>
      <c r="FT12" s="513"/>
      <c r="FU12" s="513"/>
      <c r="FV12" s="513"/>
      <c r="FW12" s="513"/>
      <c r="FX12" s="513"/>
      <c r="FY12" s="513"/>
      <c r="FZ12" s="513"/>
      <c r="GA12" s="513"/>
      <c r="GB12" s="513"/>
      <c r="GC12" s="513"/>
      <c r="GD12" s="513"/>
      <c r="GE12" s="513"/>
      <c r="GF12" s="513"/>
      <c r="GG12" s="513"/>
      <c r="GH12" s="513"/>
      <c r="GI12" s="513"/>
      <c r="GJ12" s="513"/>
      <c r="GK12" s="513"/>
      <c r="GL12" s="513"/>
      <c r="GM12" s="513"/>
      <c r="GN12" s="513"/>
      <c r="GO12" s="513"/>
      <c r="GP12" s="513"/>
      <c r="GQ12" s="513"/>
      <c r="GR12" s="513"/>
      <c r="GS12" s="513"/>
      <c r="GT12" s="513"/>
      <c r="GU12" s="513"/>
      <c r="GV12" s="513"/>
      <c r="GW12" s="513"/>
      <c r="GX12" s="513"/>
      <c r="GY12" s="513"/>
      <c r="GZ12" s="513"/>
      <c r="HA12" s="513"/>
      <c r="HB12" s="513"/>
      <c r="HC12" s="513"/>
      <c r="HD12" s="513"/>
      <c r="HE12" s="513"/>
      <c r="HF12" s="513"/>
      <c r="HG12" s="513"/>
      <c r="HH12" s="513"/>
      <c r="HI12" s="513"/>
      <c r="HJ12" s="513"/>
      <c r="HK12" s="513"/>
      <c r="HL12" s="513"/>
      <c r="HM12" s="513"/>
      <c r="HN12" s="513"/>
      <c r="HO12" s="513"/>
      <c r="HP12" s="513"/>
      <c r="HQ12" s="513"/>
      <c r="HR12" s="513"/>
      <c r="HS12" s="513"/>
      <c r="HT12" s="513"/>
      <c r="HU12" s="513"/>
      <c r="HV12" s="513"/>
      <c r="HW12" s="513"/>
      <c r="HX12" s="513"/>
      <c r="HY12" s="513"/>
      <c r="HZ12" s="513"/>
      <c r="IA12" s="513"/>
      <c r="IB12" s="513"/>
      <c r="IC12" s="513"/>
      <c r="ID12" s="513"/>
      <c r="IE12" s="513"/>
      <c r="IF12" s="513"/>
      <c r="IG12" s="513"/>
      <c r="IH12" s="513"/>
      <c r="II12" s="513"/>
      <c r="IJ12" s="513"/>
      <c r="IK12" s="513"/>
      <c r="IL12" s="513"/>
      <c r="IM12" s="513"/>
      <c r="IN12" s="513"/>
      <c r="IO12" s="513"/>
      <c r="IP12" s="513"/>
      <c r="IQ12" s="513"/>
      <c r="IR12" s="513"/>
      <c r="IS12" s="513"/>
      <c r="IT12" s="513"/>
      <c r="IU12" s="513"/>
      <c r="IV12" s="513"/>
      <c r="IW12" s="513"/>
      <c r="IX12" s="513"/>
      <c r="IY12" s="513"/>
      <c r="IZ12" s="513"/>
      <c r="JA12" s="513"/>
      <c r="JB12" s="513"/>
      <c r="JC12" s="513"/>
      <c r="JD12" s="513"/>
      <c r="JE12" s="513"/>
      <c r="JF12" s="513"/>
      <c r="JG12" s="513"/>
      <c r="JH12" s="513"/>
      <c r="JI12" s="513"/>
      <c r="JJ12" s="513"/>
      <c r="JK12" s="513"/>
      <c r="JL12" s="513"/>
      <c r="JM12" s="513"/>
      <c r="JN12" s="513"/>
      <c r="JO12" s="513"/>
      <c r="JP12" s="513"/>
      <c r="JQ12" s="513"/>
      <c r="JR12" s="513"/>
      <c r="JS12" s="513"/>
      <c r="JT12" s="513"/>
      <c r="JU12" s="513"/>
      <c r="JV12" s="513"/>
      <c r="JW12" s="513"/>
      <c r="JX12" s="513"/>
      <c r="JY12" s="513"/>
      <c r="JZ12" s="513"/>
      <c r="KA12" s="513"/>
      <c r="KB12" s="513"/>
      <c r="KC12" s="513"/>
      <c r="KD12" s="513"/>
      <c r="KE12" s="513"/>
      <c r="KF12" s="513"/>
      <c r="KG12" s="513"/>
      <c r="KH12" s="513"/>
      <c r="KI12" s="513"/>
      <c r="KJ12" s="513"/>
      <c r="KK12" s="513"/>
      <c r="KL12" s="513"/>
      <c r="KM12" s="513"/>
      <c r="KN12" s="513"/>
      <c r="KO12" s="513"/>
      <c r="KP12" s="513"/>
      <c r="KQ12" s="513"/>
      <c r="KR12" s="513"/>
      <c r="KS12" s="513"/>
      <c r="KT12" s="513"/>
      <c r="KU12" s="513"/>
      <c r="KV12" s="513"/>
      <c r="KW12" s="513"/>
      <c r="KX12" s="513"/>
      <c r="KY12" s="513"/>
      <c r="KZ12" s="513"/>
      <c r="LA12" s="513"/>
      <c r="LB12" s="513"/>
      <c r="LC12" s="513"/>
      <c r="LD12" s="513"/>
      <c r="LE12" s="513"/>
      <c r="LF12" s="513"/>
      <c r="LG12" s="513"/>
      <c r="LH12" s="513"/>
      <c r="LI12" s="513"/>
      <c r="LJ12" s="513"/>
      <c r="LK12" s="513"/>
      <c r="LL12" s="513"/>
      <c r="LM12" s="513"/>
      <c r="LN12" s="513"/>
      <c r="LO12" s="513"/>
      <c r="LP12" s="513"/>
      <c r="LQ12" s="513"/>
      <c r="LR12" s="513"/>
      <c r="LS12" s="513"/>
      <c r="LT12" s="513"/>
      <c r="LU12" s="513"/>
      <c r="LV12" s="513"/>
      <c r="LW12" s="513"/>
      <c r="LX12" s="513"/>
      <c r="LY12" s="513"/>
      <c r="LZ12" s="513"/>
      <c r="MA12" s="513"/>
      <c r="MB12" s="513"/>
      <c r="MC12" s="513"/>
      <c r="MD12" s="513"/>
      <c r="ME12" s="513"/>
      <c r="MF12" s="513"/>
      <c r="MG12" s="513"/>
      <c r="MH12" s="513"/>
      <c r="MI12" s="513"/>
      <c r="MJ12" s="513"/>
      <c r="MK12" s="513"/>
      <c r="ML12" s="513"/>
      <c r="MM12" s="513"/>
      <c r="MN12" s="513"/>
      <c r="MO12" s="513"/>
      <c r="MP12" s="513"/>
      <c r="MQ12" s="513"/>
      <c r="MR12" s="513"/>
      <c r="MS12" s="513"/>
      <c r="MT12" s="513"/>
      <c r="MU12" s="513"/>
      <c r="MV12" s="513"/>
      <c r="MW12" s="513"/>
      <c r="MX12" s="513"/>
      <c r="MY12" s="513"/>
      <c r="MZ12" s="513"/>
      <c r="NA12" s="513"/>
      <c r="NB12" s="513"/>
      <c r="NC12" s="513"/>
      <c r="ND12" s="513"/>
      <c r="NE12" s="513"/>
      <c r="NF12" s="513"/>
      <c r="NG12" s="513"/>
      <c r="NH12" s="513"/>
      <c r="NI12" s="513"/>
      <c r="NJ12" s="513"/>
      <c r="NK12" s="513"/>
      <c r="NL12" s="513"/>
      <c r="NM12" s="513"/>
      <c r="NN12" s="513"/>
      <c r="NO12" s="513"/>
      <c r="NP12" s="513"/>
      <c r="NQ12" s="513"/>
      <c r="NR12" s="513"/>
      <c r="NS12" s="513"/>
      <c r="NT12" s="513"/>
      <c r="NU12" s="513"/>
      <c r="NV12" s="513"/>
      <c r="NW12" s="513"/>
      <c r="NX12" s="513"/>
      <c r="NY12" s="513"/>
      <c r="NZ12" s="513"/>
      <c r="OA12" s="513"/>
      <c r="OB12" s="513"/>
      <c r="OC12" s="513"/>
      <c r="OD12" s="513"/>
      <c r="OE12" s="513"/>
      <c r="OF12" s="513"/>
      <c r="OG12" s="513"/>
      <c r="OH12" s="513"/>
      <c r="OI12" s="513"/>
      <c r="OJ12" s="513"/>
      <c r="OK12" s="513"/>
      <c r="OL12" s="513"/>
      <c r="OM12" s="513"/>
      <c r="ON12" s="513"/>
      <c r="OO12" s="513"/>
      <c r="OP12" s="513"/>
      <c r="OQ12" s="513"/>
      <c r="OR12" s="513"/>
      <c r="OS12" s="513"/>
      <c r="OT12" s="513"/>
      <c r="OU12" s="513"/>
      <c r="OV12" s="513"/>
      <c r="OW12" s="513"/>
      <c r="OX12" s="513"/>
      <c r="OY12" s="513"/>
      <c r="OZ12" s="513"/>
      <c r="PA12" s="513"/>
      <c r="PB12" s="513"/>
      <c r="PC12" s="513"/>
      <c r="PD12" s="513"/>
      <c r="PE12" s="513"/>
      <c r="PF12" s="513"/>
      <c r="PG12" s="513"/>
      <c r="PH12" s="513"/>
      <c r="PI12" s="513"/>
      <c r="PJ12" s="513"/>
      <c r="PK12" s="513"/>
      <c r="PL12" s="513"/>
      <c r="PM12" s="513"/>
      <c r="PN12" s="513"/>
      <c r="PO12" s="513"/>
      <c r="PP12" s="513"/>
      <c r="PQ12" s="513"/>
      <c r="PR12" s="513"/>
      <c r="PS12" s="513"/>
      <c r="PT12" s="513"/>
      <c r="PU12" s="513"/>
      <c r="PV12" s="513"/>
      <c r="PW12" s="513"/>
      <c r="PX12" s="513"/>
      <c r="PY12" s="513"/>
      <c r="PZ12" s="513"/>
      <c r="QA12" s="513"/>
      <c r="QB12" s="513"/>
      <c r="QC12" s="513"/>
      <c r="QD12" s="513"/>
      <c r="QE12" s="513"/>
      <c r="QF12" s="513"/>
      <c r="QG12" s="513"/>
      <c r="QH12" s="513"/>
      <c r="QI12" s="513"/>
      <c r="QJ12" s="513"/>
      <c r="QK12" s="513"/>
      <c r="QL12" s="513"/>
      <c r="QM12" s="513"/>
      <c r="QN12" s="513"/>
      <c r="QO12" s="513"/>
      <c r="QP12" s="513"/>
      <c r="QQ12" s="513"/>
      <c r="QR12" s="513"/>
      <c r="QS12" s="513"/>
      <c r="QT12" s="513"/>
      <c r="QU12" s="513"/>
      <c r="QV12" s="513"/>
      <c r="QW12" s="513"/>
      <c r="QX12" s="513"/>
      <c r="QY12" s="513"/>
      <c r="QZ12" s="513"/>
      <c r="RA12" s="513"/>
      <c r="RB12" s="513"/>
      <c r="RC12" s="513"/>
      <c r="RD12" s="513"/>
      <c r="RE12" s="513"/>
      <c r="RF12" s="513"/>
      <c r="RG12" s="513"/>
      <c r="RH12" s="513"/>
      <c r="RI12" s="513"/>
      <c r="RJ12" s="513"/>
      <c r="RK12" s="513"/>
      <c r="RL12" s="513"/>
      <c r="RM12" s="513"/>
      <c r="RN12" s="513"/>
      <c r="RO12" s="513"/>
      <c r="RP12" s="513"/>
      <c r="RQ12" s="513"/>
      <c r="RR12" s="513"/>
      <c r="RS12" s="513"/>
      <c r="RT12" s="513"/>
      <c r="RU12" s="513"/>
      <c r="RV12" s="513"/>
      <c r="RW12" s="513"/>
      <c r="RX12" s="513"/>
      <c r="RY12" s="513"/>
      <c r="RZ12" s="513"/>
      <c r="SA12" s="513"/>
      <c r="SB12" s="513"/>
      <c r="SC12" s="513"/>
      <c r="SD12" s="513"/>
      <c r="SE12" s="513"/>
      <c r="SF12" s="513"/>
      <c r="SG12" s="513"/>
      <c r="SH12" s="513"/>
      <c r="SI12" s="513"/>
      <c r="SJ12" s="513"/>
      <c r="SK12" s="513"/>
      <c r="SL12" s="513"/>
      <c r="SM12" s="513"/>
      <c r="SN12" s="513"/>
      <c r="SO12" s="513"/>
      <c r="SP12" s="513"/>
      <c r="SQ12" s="513"/>
      <c r="SR12" s="513"/>
      <c r="SS12" s="513"/>
      <c r="ST12" s="513"/>
      <c r="SU12" s="513"/>
      <c r="SV12" s="513"/>
      <c r="SW12" s="513"/>
      <c r="SX12" s="513"/>
      <c r="SY12" s="513"/>
      <c r="SZ12" s="513"/>
      <c r="TA12" s="513"/>
      <c r="TB12" s="513"/>
      <c r="TC12" s="513"/>
      <c r="TD12" s="513"/>
      <c r="TE12" s="513"/>
      <c r="TF12" s="513"/>
      <c r="TG12" s="513"/>
      <c r="TH12" s="513"/>
      <c r="TI12" s="513"/>
      <c r="TJ12" s="513"/>
      <c r="TK12" s="513"/>
      <c r="TL12" s="513"/>
      <c r="TM12" s="513"/>
      <c r="TN12" s="513"/>
      <c r="TO12" s="513"/>
      <c r="TP12" s="513"/>
      <c r="TQ12" s="513"/>
      <c r="TR12" s="513"/>
      <c r="TS12" s="513"/>
      <c r="TT12" s="513"/>
      <c r="TU12" s="513"/>
      <c r="TV12" s="513"/>
      <c r="TW12" s="513"/>
      <c r="TX12" s="513"/>
      <c r="TY12" s="513"/>
      <c r="TZ12" s="513"/>
      <c r="UA12" s="513"/>
      <c r="UB12" s="513"/>
      <c r="UC12" s="513"/>
      <c r="UD12" s="513"/>
      <c r="UE12" s="513"/>
      <c r="UF12" s="513"/>
      <c r="UG12" s="513"/>
      <c r="UH12" s="513"/>
      <c r="UI12" s="513"/>
      <c r="UJ12" s="513"/>
      <c r="UK12" s="513"/>
      <c r="UL12" s="513"/>
      <c r="UM12" s="513"/>
      <c r="UN12" s="513"/>
      <c r="UO12" s="513"/>
      <c r="UP12" s="513"/>
      <c r="UQ12" s="513"/>
      <c r="UR12" s="513"/>
      <c r="US12" s="513"/>
      <c r="UT12" s="513"/>
      <c r="UU12" s="513"/>
      <c r="UV12" s="513"/>
      <c r="UW12" s="513"/>
      <c r="UX12" s="513"/>
      <c r="UY12" s="513"/>
      <c r="UZ12" s="513"/>
      <c r="VA12" s="513"/>
      <c r="VB12" s="513"/>
      <c r="VC12" s="513"/>
      <c r="VD12" s="513"/>
      <c r="VE12" s="513"/>
      <c r="VF12" s="513"/>
      <c r="VG12" s="513"/>
      <c r="VH12" s="513"/>
      <c r="VI12" s="513"/>
      <c r="VJ12" s="513"/>
      <c r="VK12" s="513"/>
      <c r="VL12" s="513"/>
      <c r="VM12" s="513"/>
      <c r="VN12" s="513"/>
      <c r="VO12" s="513"/>
      <c r="VP12" s="513"/>
      <c r="VQ12" s="513"/>
      <c r="VR12" s="513"/>
      <c r="VS12" s="513"/>
      <c r="VT12" s="513"/>
      <c r="VU12" s="513"/>
      <c r="VV12" s="513"/>
      <c r="VW12" s="513"/>
      <c r="VX12" s="513"/>
      <c r="VY12" s="513"/>
      <c r="VZ12" s="513"/>
      <c r="WA12" s="513"/>
      <c r="WB12" s="513"/>
      <c r="WC12" s="513"/>
      <c r="WD12" s="513"/>
      <c r="WE12" s="513"/>
      <c r="WF12" s="513"/>
      <c r="WG12" s="513"/>
      <c r="WH12" s="513"/>
      <c r="WI12" s="513"/>
      <c r="WJ12" s="513"/>
      <c r="WK12" s="513"/>
      <c r="WL12" s="513"/>
      <c r="WM12" s="513"/>
      <c r="WN12" s="513"/>
      <c r="WO12" s="513"/>
      <c r="WP12" s="513"/>
      <c r="WQ12" s="513"/>
      <c r="WR12" s="513"/>
      <c r="WS12" s="513"/>
      <c r="WT12" s="513"/>
      <c r="WU12" s="513"/>
      <c r="WV12" s="513"/>
      <c r="WW12" s="513"/>
      <c r="WX12" s="513"/>
      <c r="WY12" s="513"/>
      <c r="WZ12" s="513"/>
      <c r="XA12" s="513"/>
      <c r="XB12" s="513"/>
      <c r="XC12" s="513"/>
      <c r="XD12" s="513"/>
      <c r="XE12" s="513"/>
      <c r="XF12" s="513"/>
      <c r="XG12" s="513"/>
      <c r="XH12" s="513"/>
      <c r="XI12" s="513"/>
      <c r="XJ12" s="513"/>
      <c r="XK12" s="513"/>
      <c r="XL12" s="513"/>
      <c r="XM12" s="513"/>
      <c r="XN12" s="513"/>
      <c r="XO12" s="513"/>
      <c r="XP12" s="513"/>
      <c r="XQ12" s="513"/>
      <c r="XR12" s="513"/>
      <c r="XS12" s="513"/>
      <c r="XT12" s="513"/>
      <c r="XU12" s="513"/>
      <c r="XV12" s="513"/>
      <c r="XW12" s="513"/>
      <c r="XX12" s="513"/>
      <c r="XY12" s="513"/>
      <c r="XZ12" s="513"/>
      <c r="YA12" s="513"/>
      <c r="YB12" s="513"/>
      <c r="YC12" s="513"/>
      <c r="YD12" s="513"/>
      <c r="YE12" s="513"/>
      <c r="YF12" s="513"/>
      <c r="YG12" s="513"/>
      <c r="YH12" s="513"/>
      <c r="YI12" s="513"/>
      <c r="YJ12" s="513"/>
      <c r="YK12" s="513"/>
      <c r="YL12" s="513"/>
      <c r="YM12" s="513"/>
      <c r="YN12" s="513"/>
      <c r="YO12" s="513"/>
      <c r="YP12" s="513"/>
      <c r="YQ12" s="513"/>
      <c r="YR12" s="513"/>
      <c r="YS12" s="513"/>
      <c r="YT12" s="513"/>
      <c r="YU12" s="513"/>
      <c r="YV12" s="513"/>
      <c r="YW12" s="513"/>
      <c r="YX12" s="513"/>
      <c r="YY12" s="513"/>
      <c r="YZ12" s="513"/>
      <c r="ZA12" s="513"/>
      <c r="ZB12" s="513"/>
      <c r="ZC12" s="513"/>
      <c r="ZD12" s="513"/>
      <c r="ZE12" s="513"/>
      <c r="ZF12" s="513"/>
      <c r="ZG12" s="513"/>
      <c r="ZH12" s="513"/>
      <c r="ZI12" s="513"/>
      <c r="ZJ12" s="513"/>
      <c r="ZK12" s="513"/>
      <c r="ZL12" s="513"/>
      <c r="ZM12" s="513"/>
      <c r="ZN12" s="513"/>
      <c r="ZO12" s="513"/>
      <c r="ZP12" s="513"/>
      <c r="ZQ12" s="513"/>
      <c r="ZR12" s="513"/>
      <c r="ZS12" s="513"/>
      <c r="ZT12" s="513"/>
      <c r="ZU12" s="513"/>
      <c r="ZV12" s="513"/>
      <c r="ZW12" s="513"/>
      <c r="ZX12" s="513"/>
      <c r="ZY12" s="513"/>
      <c r="ZZ12" s="513"/>
      <c r="AAA12" s="513"/>
      <c r="AAB12" s="513"/>
      <c r="AAC12" s="513"/>
      <c r="AAD12" s="513"/>
      <c r="AAE12" s="513"/>
      <c r="AAF12" s="513"/>
      <c r="AAG12" s="513"/>
      <c r="AAH12" s="513"/>
      <c r="AAI12" s="513"/>
      <c r="AAJ12" s="513"/>
      <c r="AAK12" s="513"/>
      <c r="AAL12" s="513"/>
      <c r="AAM12" s="513"/>
      <c r="AAN12" s="513"/>
      <c r="AAO12" s="513"/>
      <c r="AAP12" s="513"/>
      <c r="AAQ12" s="513"/>
      <c r="AAR12" s="513"/>
      <c r="AAS12" s="513"/>
      <c r="AAT12" s="513"/>
      <c r="AAU12" s="513"/>
      <c r="AAV12" s="513"/>
      <c r="AAW12" s="513"/>
      <c r="AAX12" s="513"/>
      <c r="AAY12" s="513"/>
      <c r="AAZ12" s="513"/>
      <c r="ABA12" s="513"/>
      <c r="ABB12" s="513"/>
      <c r="ABC12" s="513"/>
      <c r="ABD12" s="513"/>
      <c r="ABE12" s="513"/>
      <c r="ABF12" s="513"/>
      <c r="ABG12" s="513"/>
      <c r="ABH12" s="513"/>
      <c r="ABI12" s="513"/>
      <c r="ABJ12" s="513"/>
      <c r="ABK12" s="513"/>
      <c r="ABL12" s="513"/>
      <c r="ABM12" s="513"/>
      <c r="ABN12" s="513"/>
      <c r="ABO12" s="513"/>
      <c r="ABP12" s="513"/>
      <c r="ABQ12" s="513"/>
      <c r="ABR12" s="513"/>
      <c r="ABS12" s="513"/>
      <c r="ABT12" s="513"/>
      <c r="ABU12" s="513"/>
      <c r="ABV12" s="513"/>
      <c r="ABW12" s="513"/>
      <c r="ABX12" s="513"/>
      <c r="ABY12" s="513"/>
      <c r="ABZ12" s="513"/>
      <c r="ACA12" s="513"/>
      <c r="ACB12" s="513"/>
      <c r="ACC12" s="513"/>
      <c r="ACD12" s="513"/>
      <c r="ACE12" s="513"/>
      <c r="ACF12" s="513"/>
      <c r="ACG12" s="513"/>
      <c r="ACH12" s="513"/>
      <c r="ACI12" s="513"/>
      <c r="ACJ12" s="513"/>
      <c r="ACK12" s="513"/>
      <c r="ACL12" s="513"/>
      <c r="ACM12" s="513"/>
      <c r="ACN12" s="513"/>
      <c r="ACO12" s="513"/>
      <c r="ACP12" s="513"/>
      <c r="ACQ12" s="513"/>
      <c r="ACR12" s="513"/>
      <c r="ACS12" s="513"/>
      <c r="ACT12" s="513"/>
      <c r="ACU12" s="513"/>
      <c r="ACV12" s="513"/>
      <c r="ACW12" s="513"/>
      <c r="ACX12" s="513"/>
      <c r="ACY12" s="513"/>
      <c r="ACZ12" s="513"/>
      <c r="ADA12" s="513"/>
      <c r="ADB12" s="513"/>
      <c r="ADC12" s="513"/>
      <c r="ADD12" s="513"/>
      <c r="ADE12" s="513"/>
      <c r="ADF12" s="513"/>
      <c r="ADG12" s="513"/>
      <c r="ADH12" s="513"/>
      <c r="ADI12" s="513"/>
      <c r="ADJ12" s="513"/>
      <c r="ADK12" s="513"/>
      <c r="ADL12" s="513"/>
      <c r="ADM12" s="513"/>
      <c r="ADN12" s="513"/>
      <c r="ADO12" s="513"/>
      <c r="ADP12" s="513"/>
      <c r="ADQ12" s="513"/>
      <c r="ADR12" s="513"/>
      <c r="ADS12" s="513"/>
      <c r="ADT12" s="513"/>
      <c r="ADU12" s="513"/>
      <c r="ADV12" s="513"/>
      <c r="ADW12" s="513"/>
      <c r="ADX12" s="513"/>
      <c r="ADY12" s="513"/>
      <c r="ADZ12" s="513"/>
      <c r="AEA12" s="513"/>
      <c r="AEB12" s="513"/>
      <c r="AEC12" s="513"/>
      <c r="AED12" s="513"/>
      <c r="AEE12" s="513"/>
      <c r="AEF12" s="513"/>
      <c r="AEG12" s="513"/>
      <c r="AEH12" s="513"/>
      <c r="AEI12" s="513"/>
      <c r="AEJ12" s="513"/>
      <c r="AEK12" s="513"/>
      <c r="AEL12" s="513"/>
      <c r="AEM12" s="513"/>
      <c r="AEN12" s="513"/>
      <c r="AEO12" s="513"/>
      <c r="AEP12" s="513"/>
      <c r="AEQ12" s="513"/>
      <c r="AER12" s="513"/>
      <c r="AES12" s="513"/>
      <c r="AET12" s="513"/>
      <c r="AEU12" s="513"/>
      <c r="AEV12" s="513"/>
      <c r="AEW12" s="513"/>
      <c r="AEX12" s="513"/>
      <c r="AEY12" s="513"/>
      <c r="AEZ12" s="513"/>
      <c r="AFA12" s="513"/>
      <c r="AFB12" s="513"/>
      <c r="AFC12" s="513"/>
      <c r="AFD12" s="513"/>
      <c r="AFE12" s="513"/>
      <c r="AFF12" s="513"/>
      <c r="AFG12" s="513"/>
      <c r="AFH12" s="513"/>
      <c r="AFI12" s="513"/>
      <c r="AFJ12" s="513"/>
      <c r="AFK12" s="513"/>
      <c r="AFL12" s="513"/>
      <c r="AFM12" s="513"/>
      <c r="AFN12" s="513"/>
      <c r="AFO12" s="513"/>
      <c r="AFP12" s="513"/>
      <c r="AFQ12" s="513"/>
      <c r="AFR12" s="513"/>
      <c r="AFS12" s="513"/>
      <c r="AFT12" s="513"/>
      <c r="AFU12" s="513"/>
      <c r="AFV12" s="513"/>
      <c r="AFW12" s="513"/>
      <c r="AFX12" s="513"/>
      <c r="AFY12" s="513"/>
      <c r="AFZ12" s="513"/>
      <c r="AGA12" s="513"/>
      <c r="AGB12" s="513"/>
      <c r="AGC12" s="513"/>
      <c r="AGD12" s="513"/>
      <c r="AGE12" s="513"/>
      <c r="AGF12" s="513"/>
      <c r="AGG12" s="513"/>
      <c r="AGH12" s="513"/>
      <c r="AGI12" s="513"/>
      <c r="AGJ12" s="513"/>
      <c r="AGK12" s="513"/>
      <c r="AGL12" s="513"/>
      <c r="AGM12" s="513"/>
      <c r="AGN12" s="513"/>
      <c r="AGO12" s="513"/>
      <c r="AGP12" s="513"/>
      <c r="AGQ12" s="513"/>
      <c r="AGR12" s="513"/>
      <c r="AGS12" s="513"/>
      <c r="AGT12" s="513"/>
      <c r="AGU12" s="513"/>
      <c r="AGV12" s="513"/>
      <c r="AGW12" s="513"/>
      <c r="AGX12" s="513"/>
      <c r="AGY12" s="513"/>
      <c r="AGZ12" s="513"/>
      <c r="AHA12" s="513"/>
      <c r="AHB12" s="513"/>
      <c r="AHC12" s="513"/>
      <c r="AHD12" s="513"/>
      <c r="AHE12" s="513"/>
      <c r="AHF12" s="513"/>
      <c r="AHG12" s="513"/>
      <c r="AHH12" s="513"/>
      <c r="AHI12" s="513"/>
      <c r="AHJ12" s="513"/>
      <c r="AHK12" s="513"/>
      <c r="AHL12" s="513"/>
      <c r="AHM12" s="513"/>
      <c r="AHN12" s="513"/>
      <c r="AHO12" s="513"/>
      <c r="AHP12" s="513"/>
      <c r="AHQ12" s="513"/>
      <c r="AHR12" s="513"/>
      <c r="AHS12" s="513"/>
      <c r="AHT12" s="513"/>
      <c r="AHU12" s="513"/>
      <c r="AHV12" s="513"/>
      <c r="AHW12" s="513"/>
      <c r="AHX12" s="513"/>
      <c r="AHY12" s="513"/>
      <c r="AHZ12" s="513"/>
      <c r="AIA12" s="513"/>
      <c r="AIB12" s="513"/>
      <c r="AIC12" s="513"/>
      <c r="AID12" s="513"/>
      <c r="AIE12" s="513"/>
      <c r="AIF12" s="513"/>
      <c r="AIG12" s="513"/>
      <c r="AIH12" s="513"/>
      <c r="AII12" s="513"/>
      <c r="AIJ12" s="513"/>
      <c r="AIK12" s="513"/>
      <c r="AIL12" s="513"/>
      <c r="AIM12" s="513"/>
      <c r="AIN12" s="513"/>
      <c r="AIO12" s="513"/>
      <c r="AIP12" s="513"/>
      <c r="AIQ12" s="513"/>
      <c r="AIR12" s="513"/>
      <c r="AIS12" s="513"/>
      <c r="AIT12" s="513"/>
      <c r="AIU12" s="513"/>
      <c r="AIV12" s="513"/>
      <c r="AIW12" s="513"/>
      <c r="AIX12" s="513"/>
      <c r="AIY12" s="513"/>
      <c r="AIZ12" s="513"/>
      <c r="AJA12" s="513"/>
      <c r="AJB12" s="513"/>
      <c r="AJC12" s="513"/>
      <c r="AJD12" s="513"/>
      <c r="AJE12" s="513"/>
      <c r="AJF12" s="513"/>
      <c r="AJG12" s="513"/>
      <c r="AJH12" s="513"/>
      <c r="AJI12" s="513"/>
      <c r="AJJ12" s="513"/>
      <c r="AJK12" s="513"/>
      <c r="AJL12" s="513"/>
      <c r="AJM12" s="513"/>
      <c r="AJN12" s="513"/>
      <c r="AJO12" s="513"/>
      <c r="AJP12" s="513"/>
      <c r="AJQ12" s="513"/>
      <c r="AJR12" s="513"/>
      <c r="AJS12" s="513"/>
      <c r="AJT12" s="513"/>
      <c r="AJU12" s="513"/>
      <c r="AJV12" s="513"/>
      <c r="AJW12" s="513"/>
      <c r="AJX12" s="513"/>
      <c r="AJY12" s="513"/>
      <c r="AJZ12" s="513"/>
      <c r="AKA12" s="513"/>
      <c r="AKB12" s="513"/>
      <c r="AKC12" s="513"/>
      <c r="AKD12" s="513"/>
      <c r="AKE12" s="513"/>
      <c r="AKF12" s="513"/>
      <c r="AKG12" s="513"/>
      <c r="AKH12" s="513"/>
      <c r="AKI12" s="513"/>
      <c r="AKJ12" s="513"/>
      <c r="AKK12" s="513"/>
      <c r="AKL12" s="513"/>
      <c r="AKM12" s="513"/>
      <c r="AKN12" s="513"/>
      <c r="AKO12" s="513"/>
      <c r="AKP12" s="513"/>
      <c r="AKQ12" s="513"/>
      <c r="AKR12" s="513"/>
      <c r="AKS12" s="513"/>
      <c r="AKT12" s="513"/>
      <c r="AKU12" s="513"/>
      <c r="AKV12" s="513"/>
      <c r="AKW12" s="513"/>
      <c r="AKX12" s="513"/>
      <c r="AKY12" s="513"/>
      <c r="AKZ12" s="513"/>
      <c r="ALA12" s="513"/>
      <c r="ALB12" s="513"/>
      <c r="ALC12" s="513"/>
      <c r="ALD12" s="513"/>
      <c r="ALE12" s="513"/>
      <c r="ALF12" s="513"/>
      <c r="ALG12" s="513"/>
      <c r="ALH12" s="513"/>
      <c r="ALI12" s="513"/>
      <c r="ALJ12" s="513"/>
      <c r="ALK12" s="513"/>
      <c r="ALL12" s="513"/>
      <c r="ALM12" s="513"/>
      <c r="ALN12" s="513"/>
      <c r="ALO12" s="513"/>
      <c r="ALP12" s="513"/>
      <c r="ALQ12" s="513"/>
      <c r="ALR12" s="513"/>
      <c r="ALS12" s="513"/>
      <c r="ALT12" s="513"/>
      <c r="ALU12" s="513"/>
      <c r="ALV12" s="513"/>
      <c r="ALW12" s="513"/>
      <c r="ALX12" s="513"/>
      <c r="ALY12" s="513"/>
      <c r="ALZ12" s="513"/>
      <c r="AMA12" s="513"/>
      <c r="AMB12" s="513"/>
      <c r="AMC12" s="513"/>
      <c r="AMD12" s="513"/>
      <c r="AME12" s="513"/>
      <c r="AMF12" s="513"/>
      <c r="AMG12" s="513"/>
      <c r="AMH12" s="513"/>
      <c r="AMI12" s="513"/>
      <c r="AMJ12" s="513"/>
      <c r="AMK12" s="513"/>
      <c r="AML12" s="513"/>
      <c r="AMM12" s="513"/>
      <c r="AMN12" s="513"/>
      <c r="AMO12" s="513"/>
      <c r="AMP12" s="513"/>
      <c r="AMQ12" s="513"/>
      <c r="AMR12" s="513"/>
      <c r="AMS12" s="513"/>
      <c r="AMT12" s="513"/>
      <c r="AMU12" s="513"/>
      <c r="AMV12" s="513"/>
      <c r="AMW12" s="513"/>
      <c r="AMX12" s="513"/>
      <c r="AMY12" s="513"/>
      <c r="AMZ12" s="513"/>
      <c r="ANA12" s="513"/>
      <c r="ANB12" s="513"/>
      <c r="ANC12" s="513"/>
      <c r="AND12" s="513"/>
      <c r="ANE12" s="513"/>
      <c r="ANF12" s="513"/>
      <c r="ANG12" s="513"/>
      <c r="ANH12" s="513"/>
      <c r="ANI12" s="513"/>
      <c r="ANJ12" s="513"/>
      <c r="ANK12" s="513"/>
      <c r="ANL12" s="513"/>
      <c r="ANM12" s="513"/>
      <c r="ANN12" s="513"/>
      <c r="ANO12" s="513"/>
      <c r="ANP12" s="513"/>
      <c r="ANQ12" s="513"/>
      <c r="ANR12" s="513"/>
      <c r="ANS12" s="513"/>
      <c r="ANT12" s="513"/>
      <c r="ANU12" s="513"/>
      <c r="ANV12" s="513"/>
      <c r="ANW12" s="513"/>
      <c r="ANX12" s="513"/>
      <c r="ANY12" s="513"/>
      <c r="ANZ12" s="513"/>
      <c r="AOA12" s="513"/>
      <c r="AOB12" s="513"/>
      <c r="AOC12" s="513"/>
      <c r="AOD12" s="513"/>
      <c r="AOE12" s="513"/>
      <c r="AOF12" s="513"/>
      <c r="AOG12" s="513"/>
      <c r="AOH12" s="513"/>
      <c r="AOI12" s="513"/>
      <c r="AOJ12" s="513"/>
      <c r="AOK12" s="513"/>
      <c r="AOL12" s="513"/>
      <c r="AOM12" s="513"/>
      <c r="AON12" s="513"/>
      <c r="AOO12" s="513"/>
      <c r="AOP12" s="513"/>
      <c r="AOQ12" s="513"/>
      <c r="AOR12" s="513"/>
      <c r="AOS12" s="513"/>
      <c r="AOT12" s="513"/>
      <c r="AOU12" s="513"/>
      <c r="AOV12" s="513"/>
      <c r="AOW12" s="513"/>
      <c r="AOX12" s="513"/>
      <c r="AOY12" s="513"/>
      <c r="AOZ12" s="513"/>
      <c r="APA12" s="513"/>
      <c r="APB12" s="513"/>
      <c r="APC12" s="513"/>
      <c r="APD12" s="513"/>
      <c r="APE12" s="513"/>
      <c r="APF12" s="513"/>
      <c r="APG12" s="513"/>
      <c r="APH12" s="513"/>
      <c r="API12" s="513"/>
      <c r="APJ12" s="513"/>
      <c r="APK12" s="513"/>
      <c r="APL12" s="513"/>
      <c r="APM12" s="513"/>
      <c r="APN12" s="513"/>
      <c r="APO12" s="513"/>
      <c r="APP12" s="513"/>
      <c r="APQ12" s="513"/>
      <c r="APR12" s="513"/>
      <c r="APS12" s="513"/>
      <c r="APT12" s="513"/>
      <c r="APU12" s="513"/>
      <c r="APV12" s="513"/>
      <c r="APW12" s="513"/>
      <c r="APX12" s="513"/>
      <c r="APY12" s="513"/>
      <c r="APZ12" s="513"/>
      <c r="AQA12" s="513"/>
      <c r="AQB12" s="513"/>
      <c r="AQC12" s="513"/>
      <c r="AQD12" s="513"/>
      <c r="AQE12" s="513"/>
      <c r="AQF12" s="513"/>
      <c r="AQG12" s="513"/>
      <c r="AQH12" s="513"/>
      <c r="AQI12" s="513"/>
      <c r="AQJ12" s="513"/>
      <c r="AQK12" s="513"/>
      <c r="AQL12" s="513"/>
      <c r="AQM12" s="513"/>
      <c r="AQN12" s="513"/>
      <c r="AQO12" s="513"/>
      <c r="AQP12" s="513"/>
      <c r="AQQ12" s="513"/>
      <c r="AQR12" s="513"/>
      <c r="AQS12" s="513"/>
      <c r="AQT12" s="513"/>
      <c r="AQU12" s="513"/>
      <c r="AQV12" s="513"/>
      <c r="AQW12" s="513"/>
      <c r="AQX12" s="513"/>
      <c r="AQY12" s="513"/>
      <c r="AQZ12" s="513"/>
      <c r="ARA12" s="513"/>
      <c r="ARB12" s="513"/>
      <c r="ARC12" s="513"/>
      <c r="ARD12" s="513"/>
      <c r="ARE12" s="513"/>
      <c r="ARF12" s="513"/>
      <c r="ARG12" s="513"/>
      <c r="ARH12" s="513"/>
      <c r="ARI12" s="513"/>
      <c r="ARJ12" s="513"/>
      <c r="ARK12" s="513"/>
      <c r="ARL12" s="513"/>
      <c r="ARM12" s="513"/>
      <c r="ARN12" s="513"/>
      <c r="ARO12" s="513"/>
      <c r="ARP12" s="513"/>
      <c r="ARQ12" s="513"/>
      <c r="ARR12" s="513"/>
      <c r="ARS12" s="513"/>
      <c r="ART12" s="513"/>
      <c r="ARU12" s="513"/>
      <c r="ARV12" s="513"/>
      <c r="ARW12" s="513"/>
      <c r="ARX12" s="513"/>
      <c r="ARY12" s="513"/>
      <c r="ARZ12" s="513"/>
      <c r="ASA12" s="513"/>
      <c r="ASB12" s="513"/>
      <c r="ASC12" s="513"/>
      <c r="ASD12" s="513"/>
      <c r="ASE12" s="513"/>
      <c r="ASF12" s="513"/>
      <c r="ASG12" s="513"/>
      <c r="ASH12" s="513"/>
      <c r="ASI12" s="513"/>
      <c r="ASJ12" s="513"/>
      <c r="ASK12" s="513"/>
      <c r="ASL12" s="513"/>
      <c r="ASM12" s="513"/>
      <c r="ASN12" s="513"/>
      <c r="ASO12" s="513"/>
      <c r="ASP12" s="513"/>
      <c r="ASQ12" s="513"/>
      <c r="ASR12" s="513"/>
      <c r="ASS12" s="513"/>
      <c r="AST12" s="513"/>
      <c r="ASU12" s="513"/>
      <c r="ASV12" s="513"/>
      <c r="ASW12" s="513"/>
      <c r="ASX12" s="513"/>
      <c r="ASY12" s="513"/>
      <c r="ASZ12" s="513"/>
      <c r="ATA12" s="513"/>
      <c r="ATB12" s="513"/>
      <c r="ATC12" s="513"/>
      <c r="ATD12" s="513"/>
      <c r="ATE12" s="513"/>
      <c r="ATF12" s="513"/>
      <c r="ATG12" s="513"/>
      <c r="ATH12" s="513"/>
      <c r="ATI12" s="513"/>
      <c r="ATJ12" s="513"/>
      <c r="ATK12" s="513"/>
      <c r="ATL12" s="513"/>
      <c r="ATM12" s="513"/>
      <c r="ATN12" s="513"/>
      <c r="ATO12" s="513"/>
      <c r="ATP12" s="513"/>
      <c r="ATQ12" s="513"/>
      <c r="ATR12" s="513"/>
      <c r="ATS12" s="513"/>
      <c r="ATT12" s="513"/>
      <c r="ATU12" s="513"/>
      <c r="ATV12" s="513"/>
      <c r="ATW12" s="513"/>
      <c r="ATX12" s="513"/>
      <c r="ATY12" s="513"/>
      <c r="ATZ12" s="513"/>
      <c r="AUA12" s="513"/>
      <c r="AUB12" s="513"/>
      <c r="AUC12" s="513"/>
      <c r="AUD12" s="513"/>
      <c r="AUE12" s="513"/>
      <c r="AUF12" s="513"/>
      <c r="AUG12" s="513"/>
      <c r="AUH12" s="513"/>
      <c r="AUI12" s="513"/>
      <c r="AUJ12" s="513"/>
      <c r="AUK12" s="513"/>
      <c r="AUL12" s="513"/>
      <c r="AUM12" s="513"/>
      <c r="AUN12" s="513"/>
      <c r="AUO12" s="513"/>
      <c r="AUP12" s="513"/>
      <c r="AUQ12" s="513"/>
      <c r="AUR12" s="513"/>
      <c r="AUS12" s="513"/>
      <c r="AUT12" s="513"/>
      <c r="AUU12" s="513"/>
      <c r="AUV12" s="513"/>
      <c r="AUW12" s="513"/>
      <c r="AUX12" s="513"/>
      <c r="AUY12" s="513"/>
      <c r="AUZ12" s="513"/>
      <c r="AVA12" s="513"/>
      <c r="AVB12" s="513"/>
      <c r="AVC12" s="513"/>
      <c r="AVD12" s="513"/>
      <c r="AVE12" s="513"/>
      <c r="AVF12" s="513"/>
      <c r="AVG12" s="513"/>
      <c r="AVH12" s="513"/>
      <c r="AVI12" s="513"/>
      <c r="AVJ12" s="513"/>
      <c r="AVK12" s="513"/>
      <c r="AVL12" s="513"/>
      <c r="AVM12" s="513"/>
      <c r="AVN12" s="513"/>
      <c r="AVO12" s="513"/>
      <c r="AVP12" s="513"/>
      <c r="AVQ12" s="513"/>
      <c r="AVR12" s="513"/>
      <c r="AVS12" s="513"/>
      <c r="AVT12" s="513"/>
      <c r="AVU12" s="513"/>
      <c r="AVV12" s="513"/>
      <c r="AVW12" s="513"/>
      <c r="AVX12" s="513"/>
      <c r="AVY12" s="513"/>
      <c r="AVZ12" s="513"/>
      <c r="AWA12" s="513"/>
      <c r="AWB12" s="513"/>
      <c r="AWC12" s="513"/>
      <c r="AWD12" s="513"/>
      <c r="AWE12" s="513"/>
      <c r="AWF12" s="513"/>
      <c r="AWG12" s="513"/>
      <c r="AWH12" s="513"/>
      <c r="AWI12" s="513"/>
      <c r="AWJ12" s="513"/>
      <c r="AWK12" s="513"/>
      <c r="AWL12" s="513"/>
      <c r="AWM12" s="513"/>
      <c r="AWN12" s="513"/>
      <c r="AWO12" s="513"/>
      <c r="AWP12" s="513"/>
      <c r="AWQ12" s="513"/>
      <c r="AWR12" s="513"/>
      <c r="AWS12" s="513"/>
      <c r="AWT12" s="513"/>
      <c r="AWU12" s="513"/>
      <c r="AWV12" s="513"/>
      <c r="AWW12" s="513"/>
      <c r="AWX12" s="513"/>
      <c r="AWY12" s="513"/>
      <c r="AWZ12" s="513"/>
      <c r="AXA12" s="513"/>
      <c r="AXB12" s="513"/>
      <c r="AXC12" s="513"/>
      <c r="AXD12" s="513"/>
      <c r="AXE12" s="513"/>
      <c r="AXF12" s="513"/>
      <c r="AXG12" s="513"/>
      <c r="AXH12" s="513"/>
      <c r="AXI12" s="513"/>
      <c r="AXJ12" s="513"/>
      <c r="AXK12" s="513"/>
      <c r="AXL12" s="513"/>
      <c r="AXM12" s="513"/>
      <c r="AXN12" s="513"/>
      <c r="AXO12" s="513"/>
      <c r="AXP12" s="513"/>
      <c r="AXQ12" s="513"/>
      <c r="AXR12" s="513"/>
      <c r="AXS12" s="513"/>
      <c r="AXT12" s="513"/>
      <c r="AXU12" s="513"/>
      <c r="AXV12" s="513"/>
      <c r="AXW12" s="513"/>
      <c r="AXX12" s="513"/>
      <c r="AXY12" s="513"/>
      <c r="AXZ12" s="513"/>
      <c r="AYA12" s="513"/>
      <c r="AYB12" s="513"/>
      <c r="AYC12" s="513"/>
      <c r="AYD12" s="513"/>
      <c r="AYE12" s="513"/>
      <c r="AYF12" s="513"/>
      <c r="AYG12" s="513"/>
      <c r="AYH12" s="513"/>
      <c r="AYI12" s="513"/>
      <c r="AYJ12" s="513"/>
      <c r="AYK12" s="513"/>
      <c r="AYL12" s="513"/>
      <c r="AYM12" s="513"/>
      <c r="AYN12" s="513"/>
      <c r="AYO12" s="513"/>
      <c r="AYP12" s="513"/>
      <c r="AYQ12" s="513"/>
      <c r="AYR12" s="513"/>
      <c r="AYS12" s="513"/>
      <c r="AYT12" s="513"/>
      <c r="AYU12" s="513"/>
      <c r="AYV12" s="513"/>
      <c r="AYW12" s="513"/>
      <c r="AYX12" s="513"/>
      <c r="AYY12" s="513"/>
      <c r="AYZ12" s="513"/>
      <c r="AZA12" s="513"/>
      <c r="AZB12" s="513"/>
      <c r="AZC12" s="513"/>
      <c r="AZD12" s="513"/>
      <c r="AZE12" s="513"/>
      <c r="AZF12" s="513"/>
      <c r="AZG12" s="513"/>
      <c r="AZH12" s="513"/>
      <c r="AZI12" s="513"/>
      <c r="AZJ12" s="513"/>
      <c r="AZK12" s="513"/>
      <c r="AZL12" s="513"/>
      <c r="AZM12" s="513"/>
      <c r="AZN12" s="513"/>
      <c r="AZO12" s="513"/>
      <c r="AZP12" s="513"/>
      <c r="AZQ12" s="513"/>
      <c r="AZR12" s="513"/>
      <c r="AZS12" s="513"/>
      <c r="AZT12" s="513"/>
      <c r="AZU12" s="513"/>
      <c r="AZV12" s="513"/>
      <c r="AZW12" s="513"/>
      <c r="AZX12" s="513"/>
      <c r="AZY12" s="513"/>
      <c r="AZZ12" s="513"/>
      <c r="BAA12" s="513"/>
      <c r="BAB12" s="513"/>
      <c r="BAC12" s="513"/>
      <c r="BAD12" s="513"/>
      <c r="BAE12" s="513"/>
      <c r="BAF12" s="513"/>
      <c r="BAG12" s="513"/>
      <c r="BAH12" s="513"/>
      <c r="BAI12" s="513"/>
      <c r="BAJ12" s="513"/>
      <c r="BAK12" s="513"/>
      <c r="BAL12" s="513"/>
      <c r="BAM12" s="513"/>
      <c r="BAN12" s="513"/>
      <c r="BAO12" s="513"/>
      <c r="BAP12" s="513"/>
      <c r="BAQ12" s="513"/>
      <c r="BAR12" s="513"/>
      <c r="BAS12" s="513"/>
      <c r="BAT12" s="513"/>
      <c r="BAU12" s="513"/>
      <c r="BAV12" s="513"/>
      <c r="BAW12" s="513"/>
      <c r="BAX12" s="513"/>
      <c r="BAY12" s="513"/>
      <c r="BAZ12" s="513"/>
      <c r="BBA12" s="513"/>
      <c r="BBB12" s="513"/>
      <c r="BBC12" s="513"/>
      <c r="BBD12" s="513"/>
      <c r="BBE12" s="513"/>
      <c r="BBF12" s="513"/>
      <c r="BBG12" s="513"/>
      <c r="BBH12" s="513"/>
      <c r="BBI12" s="513"/>
      <c r="BBJ12" s="513"/>
      <c r="BBK12" s="513"/>
      <c r="BBL12" s="513"/>
      <c r="BBM12" s="513"/>
      <c r="BBN12" s="513"/>
      <c r="BBO12" s="513"/>
      <c r="BBP12" s="513"/>
      <c r="BBQ12" s="513"/>
      <c r="BBR12" s="513"/>
      <c r="BBS12" s="513"/>
      <c r="BBT12" s="513"/>
      <c r="BBU12" s="513"/>
      <c r="BBV12" s="513"/>
      <c r="BBW12" s="513"/>
      <c r="BBX12" s="513"/>
      <c r="BBY12" s="513"/>
      <c r="BBZ12" s="513"/>
      <c r="BCA12" s="513"/>
      <c r="BCB12" s="513"/>
      <c r="BCC12" s="513"/>
      <c r="BCD12" s="513"/>
      <c r="BCE12" s="513"/>
      <c r="BCF12" s="513"/>
      <c r="BCG12" s="513"/>
      <c r="BCH12" s="513"/>
      <c r="BCI12" s="513"/>
      <c r="BCJ12" s="513"/>
      <c r="BCK12" s="513"/>
      <c r="BCL12" s="513"/>
      <c r="BCM12" s="513"/>
      <c r="BCN12" s="513"/>
      <c r="BCO12" s="513"/>
      <c r="BCP12" s="513"/>
      <c r="BCQ12" s="513"/>
      <c r="BCR12" s="513"/>
      <c r="BCS12" s="513"/>
      <c r="BCT12" s="513"/>
      <c r="BCU12" s="513"/>
      <c r="BCV12" s="513"/>
      <c r="BCW12" s="513"/>
      <c r="BCX12" s="513"/>
      <c r="BCY12" s="513"/>
      <c r="BCZ12" s="513"/>
      <c r="BDA12" s="513"/>
      <c r="BDB12" s="513"/>
      <c r="BDC12" s="513"/>
      <c r="BDD12" s="513"/>
      <c r="BDE12" s="513"/>
      <c r="BDF12" s="513"/>
      <c r="BDG12" s="513"/>
      <c r="BDH12" s="513"/>
      <c r="BDI12" s="513"/>
      <c r="BDJ12" s="513"/>
      <c r="BDK12" s="513"/>
      <c r="BDL12" s="513"/>
      <c r="BDM12" s="513"/>
      <c r="BDN12" s="513"/>
      <c r="BDO12" s="513"/>
      <c r="BDP12" s="513"/>
      <c r="BDQ12" s="513"/>
      <c r="BDR12" s="513"/>
      <c r="BDS12" s="513"/>
      <c r="BDT12" s="513"/>
      <c r="BDU12" s="513"/>
      <c r="BDV12" s="513"/>
      <c r="BDW12" s="513"/>
      <c r="BDX12" s="513"/>
      <c r="BDY12" s="513"/>
      <c r="BDZ12" s="513"/>
      <c r="BEA12" s="513"/>
      <c r="BEB12" s="513"/>
      <c r="BEC12" s="513"/>
      <c r="BED12" s="513"/>
      <c r="BEE12" s="513"/>
      <c r="BEF12" s="513"/>
      <c r="BEG12" s="513"/>
      <c r="BEH12" s="513"/>
      <c r="BEI12" s="513"/>
      <c r="BEJ12" s="513"/>
      <c r="BEK12" s="513"/>
      <c r="BEL12" s="513"/>
      <c r="BEM12" s="513"/>
      <c r="BEN12" s="513"/>
      <c r="BEO12" s="513"/>
      <c r="BEP12" s="513"/>
      <c r="BEQ12" s="513"/>
      <c r="BER12" s="513"/>
      <c r="BES12" s="513"/>
      <c r="BET12" s="513"/>
      <c r="BEU12" s="513"/>
      <c r="BEV12" s="513"/>
      <c r="BEW12" s="513"/>
      <c r="BEX12" s="513"/>
      <c r="BEY12" s="513"/>
      <c r="BEZ12" s="513"/>
      <c r="BFA12" s="513"/>
      <c r="BFB12" s="513"/>
      <c r="BFC12" s="513"/>
      <c r="BFD12" s="513"/>
      <c r="BFE12" s="513"/>
      <c r="BFF12" s="513"/>
      <c r="BFG12" s="513"/>
      <c r="BFH12" s="513"/>
      <c r="BFI12" s="513"/>
      <c r="BFJ12" s="513"/>
      <c r="BFK12" s="513"/>
      <c r="BFL12" s="513"/>
      <c r="BFM12" s="513"/>
      <c r="BFN12" s="513"/>
      <c r="BFO12" s="513"/>
      <c r="BFP12" s="513"/>
      <c r="BFQ12" s="513"/>
      <c r="BFR12" s="513"/>
      <c r="BFS12" s="513"/>
      <c r="BFT12" s="513"/>
      <c r="BFU12" s="513"/>
      <c r="BFV12" s="513"/>
      <c r="BFW12" s="513"/>
      <c r="BFX12" s="513"/>
      <c r="BFY12" s="513"/>
      <c r="BFZ12" s="513"/>
      <c r="BGA12" s="513"/>
      <c r="BGB12" s="513"/>
      <c r="BGC12" s="513"/>
      <c r="BGD12" s="513"/>
      <c r="BGE12" s="513"/>
      <c r="BGF12" s="513"/>
      <c r="BGG12" s="513"/>
      <c r="BGH12" s="513"/>
      <c r="BGI12" s="513"/>
      <c r="BGJ12" s="513"/>
      <c r="BGK12" s="513"/>
      <c r="BGL12" s="513"/>
      <c r="BGM12" s="513"/>
      <c r="BGN12" s="513"/>
      <c r="BGO12" s="513"/>
      <c r="BGP12" s="513"/>
      <c r="BGQ12" s="513"/>
      <c r="BGR12" s="513"/>
      <c r="BGS12" s="513"/>
      <c r="BGT12" s="513"/>
      <c r="BGU12" s="513"/>
      <c r="BGV12" s="513"/>
      <c r="BGW12" s="513"/>
      <c r="BGX12" s="513"/>
      <c r="BGY12" s="513"/>
      <c r="BGZ12" s="513"/>
      <c r="BHA12" s="513"/>
      <c r="BHB12" s="513"/>
      <c r="BHC12" s="513"/>
      <c r="BHD12" s="513"/>
      <c r="BHE12" s="513"/>
      <c r="BHF12" s="513"/>
      <c r="BHG12" s="513"/>
      <c r="BHH12" s="513"/>
      <c r="BHI12" s="513"/>
      <c r="BHJ12" s="513"/>
      <c r="BHK12" s="513"/>
      <c r="BHL12" s="513"/>
      <c r="BHM12" s="513"/>
      <c r="BHN12" s="513"/>
      <c r="BHO12" s="513"/>
      <c r="BHP12" s="513"/>
      <c r="BHQ12" s="513"/>
      <c r="BHR12" s="513"/>
      <c r="BHS12" s="513"/>
      <c r="BHT12" s="513"/>
      <c r="BHU12" s="513"/>
      <c r="BHV12" s="513"/>
      <c r="BHW12" s="513"/>
      <c r="BHX12" s="513"/>
      <c r="BHY12" s="513"/>
      <c r="BHZ12" s="513"/>
      <c r="BIA12" s="513"/>
      <c r="BIB12" s="513"/>
      <c r="BIC12" s="513"/>
      <c r="BID12" s="513"/>
      <c r="BIE12" s="513"/>
      <c r="BIF12" s="513"/>
      <c r="BIG12" s="513"/>
      <c r="BIH12" s="513"/>
      <c r="BII12" s="513"/>
      <c r="BIJ12" s="513"/>
      <c r="BIK12" s="513"/>
      <c r="BIL12" s="513"/>
      <c r="BIM12" s="513"/>
      <c r="BIN12" s="513"/>
      <c r="BIO12" s="513"/>
      <c r="BIP12" s="513"/>
      <c r="BIQ12" s="513"/>
      <c r="BIR12" s="513"/>
      <c r="BIS12" s="513"/>
      <c r="BIT12" s="513"/>
      <c r="BIU12" s="513"/>
      <c r="BIV12" s="513"/>
      <c r="BIW12" s="513"/>
      <c r="BIX12" s="513"/>
      <c r="BIY12" s="513"/>
      <c r="BIZ12" s="513"/>
      <c r="BJA12" s="513"/>
      <c r="BJB12" s="513"/>
      <c r="BJC12" s="513"/>
      <c r="BJD12" s="513"/>
      <c r="BJE12" s="513"/>
      <c r="BJF12" s="513"/>
      <c r="BJG12" s="513"/>
      <c r="BJH12" s="513"/>
      <c r="BJI12" s="513"/>
      <c r="BJJ12" s="513"/>
      <c r="BJK12" s="513"/>
      <c r="BJL12" s="513"/>
      <c r="BJM12" s="513"/>
      <c r="BJN12" s="513"/>
      <c r="BJO12" s="513"/>
      <c r="BJP12" s="513"/>
      <c r="BJQ12" s="513"/>
      <c r="BJR12" s="513"/>
      <c r="BJS12" s="513"/>
      <c r="BJT12" s="513"/>
      <c r="BJU12" s="513"/>
      <c r="BJV12" s="513"/>
      <c r="BJW12" s="513"/>
      <c r="BJX12" s="513"/>
      <c r="BJY12" s="513"/>
      <c r="BJZ12" s="513"/>
      <c r="BKA12" s="513"/>
      <c r="BKB12" s="513"/>
      <c r="BKC12" s="513"/>
      <c r="BKD12" s="513"/>
      <c r="BKE12" s="513"/>
      <c r="BKF12" s="513"/>
      <c r="BKG12" s="513"/>
      <c r="BKH12" s="513"/>
      <c r="BKI12" s="513"/>
      <c r="BKJ12" s="513"/>
      <c r="BKK12" s="513"/>
      <c r="BKL12" s="513"/>
      <c r="BKM12" s="513"/>
      <c r="BKN12" s="513"/>
      <c r="BKO12" s="513"/>
      <c r="BKP12" s="513"/>
      <c r="BKQ12" s="513"/>
      <c r="BKR12" s="513"/>
      <c r="BKS12" s="513"/>
      <c r="BKT12" s="513"/>
      <c r="BKU12" s="513"/>
      <c r="BKV12" s="513"/>
      <c r="BKW12" s="513"/>
      <c r="BKX12" s="513"/>
      <c r="BKY12" s="513"/>
      <c r="BKZ12" s="513"/>
      <c r="BLA12" s="513"/>
      <c r="BLB12" s="513"/>
      <c r="BLC12" s="513"/>
      <c r="BLD12" s="513"/>
      <c r="BLE12" s="513"/>
      <c r="BLF12" s="513"/>
      <c r="BLG12" s="513"/>
      <c r="BLH12" s="513"/>
      <c r="BLI12" s="513"/>
      <c r="BLJ12" s="513"/>
      <c r="BLK12" s="513"/>
      <c r="BLL12" s="513"/>
      <c r="BLM12" s="513"/>
      <c r="BLN12" s="513"/>
      <c r="BLO12" s="513"/>
      <c r="BLP12" s="513"/>
      <c r="BLQ12" s="513"/>
      <c r="BLR12" s="513"/>
      <c r="BLS12" s="513"/>
      <c r="BLT12" s="513"/>
      <c r="BLU12" s="513"/>
      <c r="BLV12" s="513"/>
      <c r="BLW12" s="513"/>
      <c r="BLX12" s="513"/>
      <c r="BLY12" s="513"/>
      <c r="BLZ12" s="513"/>
      <c r="BMA12" s="513"/>
      <c r="BMB12" s="513"/>
      <c r="BMC12" s="513"/>
      <c r="BMD12" s="513"/>
      <c r="BME12" s="513"/>
      <c r="BMF12" s="513"/>
      <c r="BMG12" s="513"/>
      <c r="BMH12" s="513"/>
      <c r="BMI12" s="513"/>
      <c r="BMJ12" s="513"/>
      <c r="BMK12" s="513"/>
      <c r="BML12" s="513"/>
      <c r="BMM12" s="513"/>
      <c r="BMN12" s="513"/>
      <c r="BMO12" s="513"/>
      <c r="BMP12" s="513"/>
      <c r="BMQ12" s="513"/>
      <c r="BMR12" s="513"/>
      <c r="BMS12" s="513"/>
      <c r="BMT12" s="513"/>
      <c r="BMU12" s="513"/>
      <c r="BMV12" s="513"/>
      <c r="BMW12" s="513"/>
      <c r="BMX12" s="513"/>
      <c r="BMY12" s="513"/>
      <c r="BMZ12" s="513"/>
      <c r="BNA12" s="513"/>
      <c r="BNB12" s="513"/>
      <c r="BNC12" s="513"/>
      <c r="BND12" s="513"/>
      <c r="BNE12" s="513"/>
      <c r="BNF12" s="513"/>
      <c r="BNG12" s="513"/>
      <c r="BNH12" s="513"/>
      <c r="BNI12" s="513"/>
      <c r="BNJ12" s="513"/>
      <c r="BNK12" s="513"/>
      <c r="BNL12" s="513"/>
      <c r="BNM12" s="513"/>
      <c r="BNN12" s="513"/>
      <c r="BNO12" s="513"/>
      <c r="BNP12" s="513"/>
      <c r="BNQ12" s="513"/>
      <c r="BNR12" s="513"/>
      <c r="BNS12" s="513"/>
      <c r="BNT12" s="513"/>
      <c r="BNU12" s="513"/>
      <c r="BNV12" s="513"/>
      <c r="BNW12" s="513"/>
      <c r="BNX12" s="513"/>
      <c r="BNY12" s="513"/>
      <c r="BNZ12" s="513"/>
      <c r="BOA12" s="513"/>
      <c r="BOB12" s="513"/>
      <c r="BOC12" s="513"/>
      <c r="BOD12" s="513"/>
      <c r="BOE12" s="513"/>
      <c r="BOF12" s="513"/>
      <c r="BOG12" s="513"/>
      <c r="BOH12" s="513"/>
      <c r="BOI12" s="513"/>
      <c r="BOJ12" s="513"/>
      <c r="BOK12" s="513"/>
      <c r="BOL12" s="513"/>
      <c r="BOM12" s="513"/>
      <c r="BON12" s="513"/>
      <c r="BOO12" s="513"/>
      <c r="BOP12" s="513"/>
      <c r="BOQ12" s="513"/>
      <c r="BOR12" s="513"/>
      <c r="BOS12" s="513"/>
      <c r="BOT12" s="513"/>
      <c r="BOU12" s="513"/>
      <c r="BOV12" s="513"/>
      <c r="BOW12" s="513"/>
      <c r="BOX12" s="513"/>
      <c r="BOY12" s="513"/>
      <c r="BOZ12" s="513"/>
      <c r="BPA12" s="513"/>
      <c r="BPB12" s="513"/>
      <c r="BPC12" s="513"/>
      <c r="BPD12" s="513"/>
      <c r="BPE12" s="513"/>
      <c r="BPF12" s="513"/>
      <c r="BPG12" s="513"/>
      <c r="BPH12" s="513"/>
      <c r="BPI12" s="513"/>
      <c r="BPJ12" s="513"/>
      <c r="BPK12" s="513"/>
      <c r="BPL12" s="513"/>
      <c r="BPM12" s="513"/>
      <c r="BPN12" s="513"/>
      <c r="BPO12" s="513"/>
      <c r="BPP12" s="513"/>
      <c r="BPQ12" s="513"/>
      <c r="BPR12" s="513"/>
      <c r="BPS12" s="513"/>
      <c r="BPT12" s="513"/>
      <c r="BPU12" s="513"/>
      <c r="BPV12" s="513"/>
      <c r="BPW12" s="513"/>
      <c r="BPX12" s="513"/>
      <c r="BPY12" s="513"/>
      <c r="BPZ12" s="513"/>
      <c r="BQA12" s="513"/>
      <c r="BQB12" s="513"/>
      <c r="BQC12" s="513"/>
      <c r="BQD12" s="513"/>
      <c r="BQE12" s="513"/>
      <c r="BQF12" s="513"/>
      <c r="BQG12" s="513"/>
      <c r="BQH12" s="513"/>
      <c r="BQI12" s="513"/>
      <c r="BQJ12" s="513"/>
      <c r="BQK12" s="513"/>
      <c r="BQL12" s="513"/>
      <c r="BQM12" s="513"/>
      <c r="BQN12" s="513"/>
      <c r="BQO12" s="513"/>
      <c r="BQP12" s="513"/>
      <c r="BQQ12" s="513"/>
      <c r="BQR12" s="513"/>
      <c r="BQS12" s="513"/>
      <c r="BQT12" s="513"/>
      <c r="BQU12" s="513"/>
      <c r="BQV12" s="513"/>
      <c r="BQW12" s="513"/>
      <c r="BQX12" s="513"/>
      <c r="BQY12" s="513"/>
      <c r="BQZ12" s="513"/>
      <c r="BRA12" s="513"/>
      <c r="BRB12" s="513"/>
      <c r="BRC12" s="513"/>
      <c r="BRD12" s="513"/>
      <c r="BRE12" s="513"/>
      <c r="BRF12" s="513"/>
      <c r="BRG12" s="513"/>
      <c r="BRH12" s="513"/>
      <c r="BRI12" s="513"/>
      <c r="BRJ12" s="513"/>
      <c r="BRK12" s="513"/>
      <c r="BRL12" s="513"/>
      <c r="BRM12" s="513"/>
      <c r="BRN12" s="513"/>
      <c r="BRO12" s="513"/>
      <c r="BRP12" s="513"/>
      <c r="BRQ12" s="513"/>
      <c r="BRR12" s="513"/>
      <c r="BRS12" s="513"/>
      <c r="BRT12" s="513"/>
      <c r="BRU12" s="513"/>
      <c r="BRV12" s="513"/>
      <c r="BRW12" s="513"/>
      <c r="BRX12" s="513"/>
      <c r="BRY12" s="513"/>
      <c r="BRZ12" s="513"/>
      <c r="BSA12" s="513"/>
      <c r="BSB12" s="513"/>
      <c r="BSC12" s="513"/>
      <c r="BSD12" s="513"/>
      <c r="BSE12" s="513"/>
      <c r="BSF12" s="513"/>
      <c r="BSG12" s="513"/>
      <c r="BSH12" s="513"/>
      <c r="BSI12" s="513"/>
      <c r="BSJ12" s="513"/>
      <c r="BSK12" s="513"/>
      <c r="BSL12" s="513"/>
      <c r="BSM12" s="513"/>
      <c r="BSN12" s="513"/>
      <c r="BSO12" s="513"/>
      <c r="BSP12" s="513"/>
      <c r="BSQ12" s="513"/>
      <c r="BSR12" s="513"/>
      <c r="BSS12" s="513"/>
      <c r="BST12" s="513"/>
      <c r="BSU12" s="513"/>
      <c r="BSV12" s="513"/>
      <c r="BSW12" s="513"/>
      <c r="BSX12" s="513"/>
      <c r="BSY12" s="513"/>
      <c r="BSZ12" s="513"/>
      <c r="BTA12" s="513"/>
      <c r="BTB12" s="513"/>
      <c r="BTC12" s="513"/>
      <c r="BTD12" s="513"/>
      <c r="BTE12" s="513"/>
      <c r="BTF12" s="513"/>
      <c r="BTG12" s="513"/>
      <c r="BTH12" s="513"/>
      <c r="BTI12" s="513"/>
      <c r="BTJ12" s="513"/>
      <c r="BTK12" s="513"/>
      <c r="BTL12" s="513"/>
      <c r="BTM12" s="513"/>
      <c r="BTN12" s="513"/>
      <c r="BTO12" s="513"/>
      <c r="BTP12" s="513"/>
      <c r="BTQ12" s="513"/>
      <c r="BTR12" s="513"/>
      <c r="BTS12" s="513"/>
      <c r="BTT12" s="513"/>
      <c r="BTU12" s="513"/>
      <c r="BTV12" s="513"/>
      <c r="BTW12" s="513"/>
      <c r="BTX12" s="513"/>
      <c r="BTY12" s="513"/>
      <c r="BTZ12" s="513"/>
      <c r="BUA12" s="513"/>
      <c r="BUB12" s="513"/>
      <c r="BUC12" s="513"/>
      <c r="BUD12" s="513"/>
      <c r="BUE12" s="513"/>
      <c r="BUF12" s="513"/>
      <c r="BUG12" s="513"/>
      <c r="BUH12" s="513"/>
      <c r="BUI12" s="513"/>
      <c r="BUJ12" s="513"/>
      <c r="BUK12" s="513"/>
      <c r="BUL12" s="513"/>
      <c r="BUM12" s="513"/>
      <c r="BUN12" s="513"/>
      <c r="BUO12" s="513"/>
      <c r="BUP12" s="513"/>
      <c r="BUQ12" s="513"/>
      <c r="BUR12" s="513"/>
      <c r="BUS12" s="513"/>
      <c r="BUT12" s="513"/>
      <c r="BUU12" s="513"/>
      <c r="BUV12" s="513"/>
      <c r="BUW12" s="513"/>
      <c r="BUX12" s="513"/>
      <c r="BUY12" s="513"/>
      <c r="BUZ12" s="513"/>
      <c r="BVA12" s="513"/>
      <c r="BVB12" s="513"/>
      <c r="BVC12" s="513"/>
      <c r="BVD12" s="513"/>
      <c r="BVE12" s="513"/>
      <c r="BVF12" s="513"/>
      <c r="BVG12" s="513"/>
      <c r="BVH12" s="513"/>
      <c r="BVI12" s="513"/>
      <c r="BVJ12" s="513"/>
      <c r="BVK12" s="513"/>
      <c r="BVL12" s="513"/>
      <c r="BVM12" s="513"/>
      <c r="BVN12" s="513"/>
      <c r="BVO12" s="513"/>
      <c r="BVP12" s="513"/>
      <c r="BVQ12" s="513"/>
      <c r="BVR12" s="513"/>
      <c r="BVS12" s="513"/>
      <c r="BVT12" s="513"/>
      <c r="BVU12" s="513"/>
      <c r="BVV12" s="513"/>
      <c r="BVW12" s="513"/>
      <c r="BVX12" s="513"/>
      <c r="BVY12" s="513"/>
      <c r="BVZ12" s="513"/>
      <c r="BWA12" s="513"/>
      <c r="BWB12" s="513"/>
      <c r="BWC12" s="513"/>
      <c r="BWD12" s="513"/>
      <c r="BWE12" s="513"/>
      <c r="BWF12" s="513"/>
      <c r="BWG12" s="513"/>
      <c r="BWH12" s="513"/>
      <c r="BWI12" s="513"/>
      <c r="BWJ12" s="513"/>
      <c r="BWK12" s="513"/>
      <c r="BWL12" s="513"/>
      <c r="BWM12" s="513"/>
      <c r="BWN12" s="513"/>
      <c r="BWO12" s="513"/>
      <c r="BWP12" s="513"/>
      <c r="BWQ12" s="513"/>
      <c r="BWR12" s="513"/>
      <c r="BWS12" s="513"/>
      <c r="BWT12" s="513"/>
      <c r="BWU12" s="513"/>
      <c r="BWV12" s="513"/>
      <c r="BWW12" s="513"/>
      <c r="BWX12" s="513"/>
      <c r="BWY12" s="513"/>
      <c r="BWZ12" s="513"/>
      <c r="BXA12" s="513"/>
      <c r="BXB12" s="513"/>
      <c r="BXC12" s="513"/>
      <c r="BXD12" s="513"/>
      <c r="BXE12" s="513"/>
      <c r="BXF12" s="513"/>
      <c r="BXG12" s="513"/>
      <c r="BXH12" s="513"/>
      <c r="BXI12" s="513"/>
      <c r="BXJ12" s="513"/>
      <c r="BXK12" s="513"/>
      <c r="BXL12" s="513"/>
      <c r="BXM12" s="513"/>
      <c r="BXN12" s="513"/>
      <c r="BXO12" s="513"/>
      <c r="BXP12" s="513"/>
      <c r="BXQ12" s="513"/>
      <c r="BXR12" s="513"/>
      <c r="BXS12" s="513"/>
      <c r="BXT12" s="513"/>
      <c r="BXU12" s="513"/>
      <c r="BXV12" s="513"/>
      <c r="BXW12" s="513"/>
      <c r="BXX12" s="513"/>
      <c r="BXY12" s="513"/>
      <c r="BXZ12" s="513"/>
      <c r="BYA12" s="513"/>
      <c r="BYB12" s="513"/>
      <c r="BYC12" s="513"/>
      <c r="BYD12" s="513"/>
      <c r="BYE12" s="513"/>
      <c r="BYF12" s="513"/>
      <c r="BYG12" s="513"/>
      <c r="BYH12" s="513"/>
      <c r="BYI12" s="513"/>
      <c r="BYJ12" s="513"/>
      <c r="BYK12" s="513"/>
      <c r="BYL12" s="513"/>
      <c r="BYM12" s="513"/>
      <c r="BYN12" s="513"/>
      <c r="BYO12" s="513"/>
      <c r="BYP12" s="513"/>
      <c r="BYQ12" s="513"/>
      <c r="BYR12" s="513"/>
      <c r="BYS12" s="513"/>
      <c r="BYT12" s="513"/>
      <c r="BYU12" s="513"/>
      <c r="BYV12" s="513"/>
      <c r="BYW12" s="513"/>
      <c r="BYX12" s="513"/>
      <c r="BYY12" s="513"/>
      <c r="BYZ12" s="513"/>
      <c r="BZA12" s="513"/>
      <c r="BZB12" s="513"/>
      <c r="BZC12" s="513"/>
      <c r="BZD12" s="513"/>
      <c r="BZE12" s="513"/>
      <c r="BZF12" s="513"/>
      <c r="BZG12" s="513"/>
      <c r="BZH12" s="513"/>
      <c r="BZI12" s="513"/>
      <c r="BZJ12" s="513"/>
      <c r="BZK12" s="513"/>
      <c r="BZL12" s="513"/>
      <c r="BZM12" s="513"/>
      <c r="BZN12" s="513"/>
      <c r="BZO12" s="513"/>
      <c r="BZP12" s="513"/>
      <c r="BZQ12" s="513"/>
      <c r="BZR12" s="513"/>
      <c r="BZS12" s="513"/>
      <c r="BZT12" s="513"/>
      <c r="BZU12" s="513"/>
      <c r="BZV12" s="513"/>
      <c r="BZW12" s="513"/>
      <c r="BZX12" s="513"/>
      <c r="BZY12" s="513"/>
      <c r="BZZ12" s="513"/>
      <c r="CAA12" s="513"/>
      <c r="CAB12" s="513"/>
      <c r="CAC12" s="513"/>
      <c r="CAD12" s="513"/>
      <c r="CAE12" s="513"/>
      <c r="CAF12" s="513"/>
      <c r="CAG12" s="513"/>
      <c r="CAH12" s="513"/>
      <c r="CAI12" s="513"/>
      <c r="CAJ12" s="513"/>
      <c r="CAK12" s="513"/>
      <c r="CAL12" s="513"/>
      <c r="CAM12" s="513"/>
      <c r="CAN12" s="513"/>
      <c r="CAO12" s="513"/>
      <c r="CAP12" s="513"/>
      <c r="CAQ12" s="513"/>
      <c r="CAR12" s="513"/>
      <c r="CAS12" s="513"/>
      <c r="CAT12" s="513"/>
      <c r="CAU12" s="513"/>
      <c r="CAV12" s="513"/>
      <c r="CAW12" s="513"/>
      <c r="CAX12" s="513"/>
      <c r="CAY12" s="513"/>
      <c r="CAZ12" s="513"/>
      <c r="CBA12" s="513"/>
      <c r="CBB12" s="513"/>
      <c r="CBC12" s="513"/>
      <c r="CBD12" s="513"/>
      <c r="CBE12" s="513"/>
      <c r="CBF12" s="513"/>
      <c r="CBG12" s="513"/>
      <c r="CBH12" s="513"/>
      <c r="CBI12" s="513"/>
      <c r="CBJ12" s="513"/>
      <c r="CBK12" s="513"/>
      <c r="CBL12" s="513"/>
      <c r="CBM12" s="513"/>
      <c r="CBN12" s="513"/>
      <c r="CBO12" s="513"/>
      <c r="CBP12" s="513"/>
      <c r="CBQ12" s="513"/>
      <c r="CBR12" s="513"/>
      <c r="CBS12" s="513"/>
      <c r="CBT12" s="513"/>
      <c r="CBU12" s="513"/>
      <c r="CBV12" s="513"/>
      <c r="CBW12" s="513"/>
      <c r="CBX12" s="513"/>
      <c r="CBY12" s="513"/>
      <c r="CBZ12" s="513"/>
      <c r="CCA12" s="513"/>
      <c r="CCB12" s="513"/>
      <c r="CCC12" s="513"/>
      <c r="CCD12" s="513"/>
      <c r="CCE12" s="513"/>
      <c r="CCF12" s="513"/>
      <c r="CCG12" s="513"/>
      <c r="CCH12" s="513"/>
      <c r="CCI12" s="513"/>
      <c r="CCJ12" s="513"/>
      <c r="CCK12" s="513"/>
      <c r="CCL12" s="513"/>
      <c r="CCM12" s="513"/>
      <c r="CCN12" s="513"/>
      <c r="CCO12" s="513"/>
      <c r="CCP12" s="513"/>
      <c r="CCQ12" s="513"/>
      <c r="CCR12" s="513"/>
      <c r="CCS12" s="513"/>
      <c r="CCT12" s="513"/>
      <c r="CCU12" s="513"/>
      <c r="CCV12" s="513"/>
      <c r="CCW12" s="513"/>
      <c r="CCX12" s="513"/>
      <c r="CCY12" s="513"/>
      <c r="CCZ12" s="513"/>
      <c r="CDA12" s="513"/>
      <c r="CDB12" s="513"/>
      <c r="CDC12" s="513"/>
      <c r="CDD12" s="513"/>
      <c r="CDE12" s="513"/>
      <c r="CDF12" s="513"/>
      <c r="CDG12" s="513"/>
      <c r="CDH12" s="513"/>
      <c r="CDI12" s="513"/>
      <c r="CDJ12" s="513"/>
      <c r="CDK12" s="513"/>
      <c r="CDL12" s="513"/>
      <c r="CDM12" s="513"/>
      <c r="CDN12" s="513"/>
      <c r="CDO12" s="513"/>
      <c r="CDP12" s="513"/>
      <c r="CDQ12" s="513"/>
      <c r="CDR12" s="513"/>
      <c r="CDS12" s="513"/>
      <c r="CDT12" s="513"/>
      <c r="CDU12" s="513"/>
      <c r="CDV12" s="513"/>
      <c r="CDW12" s="513"/>
      <c r="CDX12" s="513"/>
      <c r="CDY12" s="513"/>
      <c r="CDZ12" s="513"/>
      <c r="CEA12" s="513"/>
      <c r="CEB12" s="513"/>
      <c r="CEC12" s="513"/>
      <c r="CED12" s="513"/>
      <c r="CEE12" s="513"/>
      <c r="CEF12" s="513"/>
      <c r="CEG12" s="513"/>
      <c r="CEH12" s="513"/>
      <c r="CEI12" s="513"/>
      <c r="CEJ12" s="513"/>
      <c r="CEK12" s="513"/>
      <c r="CEL12" s="513"/>
      <c r="CEM12" s="513"/>
      <c r="CEN12" s="513"/>
      <c r="CEO12" s="513"/>
      <c r="CEP12" s="513"/>
      <c r="CEQ12" s="513"/>
      <c r="CER12" s="513"/>
      <c r="CES12" s="513"/>
      <c r="CET12" s="513"/>
      <c r="CEU12" s="513"/>
      <c r="CEV12" s="513"/>
      <c r="CEW12" s="513"/>
      <c r="CEX12" s="513"/>
      <c r="CEY12" s="513"/>
      <c r="CEZ12" s="513"/>
      <c r="CFA12" s="513"/>
      <c r="CFB12" s="513"/>
      <c r="CFC12" s="513"/>
      <c r="CFD12" s="513"/>
      <c r="CFE12" s="513"/>
      <c r="CFF12" s="513"/>
      <c r="CFG12" s="513"/>
      <c r="CFH12" s="513"/>
      <c r="CFI12" s="513"/>
      <c r="CFJ12" s="513"/>
      <c r="CFK12" s="513"/>
      <c r="CFL12" s="513"/>
      <c r="CFM12" s="513"/>
      <c r="CFN12" s="513"/>
      <c r="CFO12" s="513"/>
      <c r="CFP12" s="513"/>
      <c r="CFQ12" s="513"/>
      <c r="CFR12" s="513"/>
      <c r="CFS12" s="513"/>
      <c r="CFT12" s="513"/>
      <c r="CFU12" s="513"/>
      <c r="CFV12" s="513"/>
      <c r="CFW12" s="513"/>
      <c r="CFX12" s="513"/>
      <c r="CFY12" s="513"/>
      <c r="CFZ12" s="513"/>
      <c r="CGA12" s="513"/>
      <c r="CGB12" s="513"/>
      <c r="CGC12" s="513"/>
      <c r="CGD12" s="513"/>
      <c r="CGE12" s="513"/>
      <c r="CGF12" s="513"/>
      <c r="CGG12" s="513"/>
      <c r="CGH12" s="513"/>
      <c r="CGI12" s="513"/>
      <c r="CGJ12" s="513"/>
      <c r="CGK12" s="513"/>
      <c r="CGL12" s="513"/>
      <c r="CGM12" s="513"/>
      <c r="CGN12" s="513"/>
      <c r="CGO12" s="513"/>
      <c r="CGP12" s="513"/>
      <c r="CGQ12" s="513"/>
      <c r="CGR12" s="513"/>
      <c r="CGS12" s="513"/>
      <c r="CGT12" s="513"/>
      <c r="CGU12" s="513"/>
      <c r="CGV12" s="513"/>
      <c r="CGW12" s="513"/>
      <c r="CGX12" s="513"/>
      <c r="CGY12" s="513"/>
      <c r="CGZ12" s="513"/>
      <c r="CHA12" s="513"/>
      <c r="CHB12" s="513"/>
      <c r="CHC12" s="513"/>
      <c r="CHD12" s="513"/>
      <c r="CHE12" s="513"/>
      <c r="CHF12" s="513"/>
      <c r="CHG12" s="513"/>
      <c r="CHH12" s="513"/>
      <c r="CHI12" s="513"/>
      <c r="CHJ12" s="513"/>
      <c r="CHK12" s="513"/>
      <c r="CHL12" s="513"/>
      <c r="CHM12" s="513"/>
      <c r="CHN12" s="513"/>
      <c r="CHO12" s="513"/>
      <c r="CHP12" s="513"/>
      <c r="CHQ12" s="513"/>
      <c r="CHR12" s="513"/>
      <c r="CHS12" s="513"/>
      <c r="CHT12" s="513"/>
      <c r="CHU12" s="513"/>
      <c r="CHV12" s="513"/>
      <c r="CHW12" s="513"/>
      <c r="CHX12" s="513"/>
      <c r="CHY12" s="513"/>
      <c r="CHZ12" s="513"/>
      <c r="CIA12" s="513"/>
      <c r="CIB12" s="513"/>
      <c r="CIC12" s="513"/>
      <c r="CID12" s="513"/>
      <c r="CIE12" s="513"/>
      <c r="CIF12" s="513"/>
      <c r="CIG12" s="513"/>
      <c r="CIH12" s="513"/>
      <c r="CII12" s="513"/>
      <c r="CIJ12" s="513"/>
      <c r="CIK12" s="513"/>
      <c r="CIL12" s="513"/>
      <c r="CIM12" s="513"/>
      <c r="CIN12" s="513"/>
      <c r="CIO12" s="513"/>
      <c r="CIP12" s="513"/>
      <c r="CIQ12" s="513"/>
      <c r="CIR12" s="513"/>
      <c r="CIS12" s="513"/>
      <c r="CIT12" s="513"/>
      <c r="CIU12" s="513"/>
      <c r="CIV12" s="513"/>
      <c r="CIW12" s="513"/>
      <c r="CIX12" s="513"/>
      <c r="CIY12" s="513"/>
      <c r="CIZ12" s="513"/>
      <c r="CJA12" s="513"/>
      <c r="CJB12" s="513"/>
      <c r="CJC12" s="513"/>
      <c r="CJD12" s="513"/>
      <c r="CJE12" s="513"/>
      <c r="CJF12" s="513"/>
      <c r="CJG12" s="513"/>
      <c r="CJH12" s="513"/>
      <c r="CJI12" s="513"/>
      <c r="CJJ12" s="513"/>
      <c r="CJK12" s="513"/>
      <c r="CJL12" s="513"/>
      <c r="CJM12" s="513"/>
      <c r="CJN12" s="513"/>
      <c r="CJO12" s="513"/>
      <c r="CJP12" s="513"/>
      <c r="CJQ12" s="513"/>
      <c r="CJR12" s="513"/>
      <c r="CJS12" s="513"/>
      <c r="CJT12" s="513"/>
      <c r="CJU12" s="513"/>
      <c r="CJV12" s="513"/>
      <c r="CJW12" s="513"/>
      <c r="CJX12" s="513"/>
      <c r="CJY12" s="513"/>
      <c r="CJZ12" s="513"/>
      <c r="CKA12" s="513"/>
      <c r="CKB12" s="513"/>
      <c r="CKC12" s="513"/>
      <c r="CKD12" s="513"/>
      <c r="CKE12" s="513"/>
      <c r="CKF12" s="513"/>
      <c r="CKG12" s="513"/>
      <c r="CKH12" s="513"/>
      <c r="CKI12" s="513"/>
      <c r="CKJ12" s="513"/>
      <c r="CKK12" s="513"/>
      <c r="CKL12" s="513"/>
      <c r="CKM12" s="513"/>
      <c r="CKN12" s="513"/>
      <c r="CKO12" s="513"/>
      <c r="CKP12" s="513"/>
      <c r="CKQ12" s="513"/>
      <c r="CKR12" s="513"/>
      <c r="CKS12" s="513"/>
      <c r="CKT12" s="513"/>
      <c r="CKU12" s="513"/>
      <c r="CKV12" s="513"/>
      <c r="CKW12" s="513"/>
      <c r="CKX12" s="513"/>
      <c r="CKY12" s="513"/>
      <c r="CKZ12" s="513"/>
      <c r="CLA12" s="513"/>
      <c r="CLB12" s="513"/>
      <c r="CLC12" s="513"/>
      <c r="CLD12" s="513"/>
      <c r="CLE12" s="513"/>
      <c r="CLF12" s="513"/>
      <c r="CLG12" s="513"/>
      <c r="CLH12" s="513"/>
      <c r="CLI12" s="513"/>
      <c r="CLJ12" s="513"/>
      <c r="CLK12" s="513"/>
      <c r="CLL12" s="513"/>
      <c r="CLM12" s="513"/>
      <c r="CLN12" s="513"/>
      <c r="CLO12" s="513"/>
      <c r="CLP12" s="513"/>
      <c r="CLQ12" s="513"/>
      <c r="CLR12" s="513"/>
      <c r="CLS12" s="513"/>
      <c r="CLT12" s="513"/>
      <c r="CLU12" s="513"/>
      <c r="CLV12" s="513"/>
      <c r="CLW12" s="513"/>
      <c r="CLX12" s="513"/>
      <c r="CLY12" s="513"/>
      <c r="CLZ12" s="513"/>
      <c r="CMA12" s="513"/>
      <c r="CMB12" s="513"/>
      <c r="CMC12" s="513"/>
      <c r="CMD12" s="513"/>
      <c r="CME12" s="513"/>
      <c r="CMF12" s="513"/>
      <c r="CMG12" s="513"/>
      <c r="CMH12" s="513"/>
      <c r="CMI12" s="513"/>
      <c r="CMJ12" s="513"/>
      <c r="CMK12" s="513"/>
      <c r="CML12" s="513"/>
      <c r="CMM12" s="513"/>
      <c r="CMN12" s="513"/>
      <c r="CMO12" s="513"/>
      <c r="CMP12" s="513"/>
      <c r="CMQ12" s="513"/>
      <c r="CMR12" s="513"/>
      <c r="CMS12" s="513"/>
      <c r="CMT12" s="513"/>
      <c r="CMU12" s="513"/>
      <c r="CMV12" s="513"/>
      <c r="CMW12" s="513"/>
      <c r="CMX12" s="513"/>
      <c r="CMY12" s="513"/>
      <c r="CMZ12" s="513"/>
      <c r="CNA12" s="513"/>
      <c r="CNB12" s="513"/>
      <c r="CNC12" s="513"/>
      <c r="CND12" s="513"/>
      <c r="CNE12" s="513"/>
      <c r="CNF12" s="513"/>
      <c r="CNG12" s="513"/>
      <c r="CNH12" s="513"/>
      <c r="CNI12" s="513"/>
      <c r="CNJ12" s="513"/>
      <c r="CNK12" s="513"/>
      <c r="CNL12" s="513"/>
      <c r="CNM12" s="513"/>
      <c r="CNN12" s="513"/>
      <c r="CNO12" s="513"/>
      <c r="CNP12" s="513"/>
      <c r="CNQ12" s="513"/>
      <c r="CNR12" s="513"/>
      <c r="CNS12" s="513"/>
      <c r="CNT12" s="513"/>
      <c r="CNU12" s="513"/>
      <c r="CNV12" s="513"/>
      <c r="CNW12" s="513"/>
      <c r="CNX12" s="513"/>
      <c r="CNY12" s="513"/>
      <c r="CNZ12" s="513"/>
      <c r="COA12" s="513"/>
      <c r="COB12" s="513"/>
      <c r="COC12" s="513"/>
      <c r="COD12" s="513"/>
      <c r="COE12" s="513"/>
      <c r="COF12" s="513"/>
      <c r="COG12" s="513"/>
      <c r="COH12" s="513"/>
      <c r="COI12" s="513"/>
      <c r="COJ12" s="513"/>
      <c r="COK12" s="513"/>
      <c r="COL12" s="513"/>
      <c r="COM12" s="513"/>
      <c r="CON12" s="513"/>
      <c r="COO12" s="513"/>
      <c r="COP12" s="513"/>
      <c r="COQ12" s="513"/>
      <c r="COR12" s="513"/>
      <c r="COS12" s="513"/>
      <c r="COT12" s="513"/>
      <c r="COU12" s="513"/>
      <c r="COV12" s="513"/>
      <c r="COW12" s="513"/>
      <c r="COX12" s="513"/>
      <c r="COY12" s="513"/>
      <c r="COZ12" s="513"/>
      <c r="CPA12" s="513"/>
      <c r="CPB12" s="513"/>
      <c r="CPC12" s="513"/>
      <c r="CPD12" s="513"/>
      <c r="CPE12" s="513"/>
      <c r="CPF12" s="513"/>
      <c r="CPG12" s="513"/>
      <c r="CPH12" s="513"/>
      <c r="CPI12" s="513"/>
      <c r="CPJ12" s="513"/>
      <c r="CPK12" s="513"/>
      <c r="CPL12" s="513"/>
      <c r="CPM12" s="513"/>
      <c r="CPN12" s="513"/>
      <c r="CPO12" s="513"/>
      <c r="CPP12" s="513"/>
      <c r="CPQ12" s="513"/>
      <c r="CPR12" s="513"/>
      <c r="CPS12" s="513"/>
      <c r="CPT12" s="513"/>
      <c r="CPU12" s="513"/>
      <c r="CPV12" s="513"/>
      <c r="CPW12" s="513"/>
      <c r="CPX12" s="513"/>
      <c r="CPY12" s="513"/>
      <c r="CPZ12" s="513"/>
      <c r="CQA12" s="513"/>
      <c r="CQB12" s="513"/>
      <c r="CQC12" s="513"/>
      <c r="CQD12" s="513"/>
      <c r="CQE12" s="513"/>
      <c r="CQF12" s="513"/>
      <c r="CQG12" s="513"/>
      <c r="CQH12" s="513"/>
      <c r="CQI12" s="513"/>
      <c r="CQJ12" s="513"/>
      <c r="CQK12" s="513"/>
      <c r="CQL12" s="513"/>
      <c r="CQM12" s="513"/>
      <c r="CQN12" s="513"/>
      <c r="CQO12" s="513"/>
      <c r="CQP12" s="513"/>
      <c r="CQQ12" s="513"/>
      <c r="CQR12" s="513"/>
      <c r="CQS12" s="513"/>
      <c r="CQT12" s="513"/>
      <c r="CQU12" s="513"/>
      <c r="CQV12" s="513"/>
      <c r="CQW12" s="513"/>
      <c r="CQX12" s="513"/>
      <c r="CQY12" s="513"/>
      <c r="CQZ12" s="513"/>
      <c r="CRA12" s="513"/>
      <c r="CRB12" s="513"/>
      <c r="CRC12" s="513"/>
      <c r="CRD12" s="513"/>
      <c r="CRE12" s="513"/>
      <c r="CRF12" s="513"/>
      <c r="CRG12" s="513"/>
      <c r="CRH12" s="513"/>
      <c r="CRI12" s="513"/>
      <c r="CRJ12" s="513"/>
      <c r="CRK12" s="513"/>
      <c r="CRL12" s="513"/>
      <c r="CRM12" s="513"/>
      <c r="CRN12" s="513"/>
      <c r="CRO12" s="513"/>
      <c r="CRP12" s="513"/>
      <c r="CRQ12" s="513"/>
      <c r="CRR12" s="513"/>
      <c r="CRS12" s="513"/>
      <c r="CRT12" s="513"/>
      <c r="CRU12" s="513"/>
      <c r="CRV12" s="513"/>
      <c r="CRW12" s="513"/>
      <c r="CRX12" s="513"/>
      <c r="CRY12" s="513"/>
      <c r="CRZ12" s="513"/>
      <c r="CSA12" s="513"/>
      <c r="CSB12" s="513"/>
      <c r="CSC12" s="513"/>
      <c r="CSD12" s="513"/>
      <c r="CSE12" s="513"/>
      <c r="CSF12" s="513"/>
      <c r="CSG12" s="513"/>
      <c r="CSH12" s="513"/>
      <c r="CSI12" s="513"/>
      <c r="CSJ12" s="513"/>
      <c r="CSK12" s="513"/>
      <c r="CSL12" s="513"/>
      <c r="CSM12" s="513"/>
      <c r="CSN12" s="513"/>
      <c r="CSO12" s="513"/>
      <c r="CSP12" s="513"/>
      <c r="CSQ12" s="513"/>
      <c r="CSR12" s="513"/>
      <c r="CSS12" s="513"/>
      <c r="CST12" s="513"/>
      <c r="CSU12" s="513"/>
      <c r="CSV12" s="513"/>
      <c r="CSW12" s="513"/>
      <c r="CSX12" s="513"/>
      <c r="CSY12" s="513"/>
      <c r="CSZ12" s="513"/>
      <c r="CTA12" s="513"/>
      <c r="CTB12" s="513"/>
      <c r="CTC12" s="513"/>
      <c r="CTD12" s="513"/>
      <c r="CTE12" s="513"/>
      <c r="CTF12" s="513"/>
      <c r="CTG12" s="513"/>
      <c r="CTH12" s="513"/>
      <c r="CTI12" s="513"/>
      <c r="CTJ12" s="513"/>
      <c r="CTK12" s="513"/>
      <c r="CTL12" s="513"/>
      <c r="CTM12" s="513"/>
      <c r="CTN12" s="513"/>
      <c r="CTO12" s="513"/>
      <c r="CTP12" s="513"/>
      <c r="CTQ12" s="513"/>
      <c r="CTR12" s="513"/>
      <c r="CTS12" s="513"/>
      <c r="CTT12" s="513"/>
      <c r="CTU12" s="513"/>
      <c r="CTV12" s="513"/>
      <c r="CTW12" s="513"/>
      <c r="CTX12" s="513"/>
      <c r="CTY12" s="513"/>
      <c r="CTZ12" s="513"/>
      <c r="CUA12" s="513"/>
      <c r="CUB12" s="513"/>
      <c r="CUC12" s="513"/>
      <c r="CUD12" s="513"/>
      <c r="CUE12" s="513"/>
      <c r="CUF12" s="513"/>
      <c r="CUG12" s="513"/>
      <c r="CUH12" s="513"/>
      <c r="CUI12" s="513"/>
      <c r="CUJ12" s="513"/>
      <c r="CUK12" s="513"/>
      <c r="CUL12" s="513"/>
      <c r="CUM12" s="513"/>
      <c r="CUN12" s="513"/>
      <c r="CUO12" s="513"/>
      <c r="CUP12" s="513"/>
      <c r="CUQ12" s="513"/>
      <c r="CUR12" s="513"/>
      <c r="CUS12" s="513"/>
      <c r="CUT12" s="513"/>
      <c r="CUU12" s="513"/>
      <c r="CUV12" s="513"/>
      <c r="CUW12" s="513"/>
      <c r="CUX12" s="513"/>
      <c r="CUY12" s="513"/>
      <c r="CUZ12" s="513"/>
      <c r="CVA12" s="513"/>
      <c r="CVB12" s="513"/>
      <c r="CVC12" s="513"/>
      <c r="CVD12" s="513"/>
      <c r="CVE12" s="513"/>
      <c r="CVF12" s="513"/>
      <c r="CVG12" s="513"/>
      <c r="CVH12" s="513"/>
      <c r="CVI12" s="513"/>
      <c r="CVJ12" s="513"/>
      <c r="CVK12" s="513"/>
      <c r="CVL12" s="513"/>
      <c r="CVM12" s="513"/>
      <c r="CVN12" s="513"/>
      <c r="CVO12" s="513"/>
      <c r="CVP12" s="513"/>
      <c r="CVQ12" s="513"/>
      <c r="CVR12" s="513"/>
      <c r="CVS12" s="513"/>
      <c r="CVT12" s="513"/>
      <c r="CVU12" s="513"/>
      <c r="CVV12" s="513"/>
      <c r="CVW12" s="513"/>
      <c r="CVX12" s="513"/>
      <c r="CVY12" s="513"/>
      <c r="CVZ12" s="513"/>
      <c r="CWA12" s="513"/>
      <c r="CWB12" s="513"/>
      <c r="CWC12" s="513"/>
      <c r="CWD12" s="513"/>
      <c r="CWE12" s="513"/>
      <c r="CWF12" s="513"/>
      <c r="CWG12" s="513"/>
      <c r="CWH12" s="513"/>
      <c r="CWI12" s="513"/>
      <c r="CWJ12" s="513"/>
      <c r="CWK12" s="513"/>
      <c r="CWL12" s="513"/>
      <c r="CWM12" s="513"/>
      <c r="CWN12" s="513"/>
      <c r="CWO12" s="513"/>
      <c r="CWP12" s="513"/>
      <c r="CWQ12" s="513"/>
      <c r="CWR12" s="513"/>
      <c r="CWS12" s="513"/>
      <c r="CWT12" s="513"/>
      <c r="CWU12" s="513"/>
      <c r="CWV12" s="513"/>
      <c r="CWW12" s="513"/>
      <c r="CWX12" s="513"/>
      <c r="CWY12" s="513"/>
      <c r="CWZ12" s="513"/>
      <c r="CXA12" s="513"/>
      <c r="CXB12" s="513"/>
      <c r="CXC12" s="513"/>
      <c r="CXD12" s="513"/>
      <c r="CXE12" s="513"/>
      <c r="CXF12" s="513"/>
      <c r="CXG12" s="513"/>
      <c r="CXH12" s="513"/>
      <c r="CXI12" s="513"/>
      <c r="CXJ12" s="513"/>
      <c r="CXK12" s="513"/>
      <c r="CXL12" s="513"/>
      <c r="CXM12" s="513"/>
      <c r="CXN12" s="513"/>
      <c r="CXO12" s="513"/>
      <c r="CXP12" s="513"/>
      <c r="CXQ12" s="513"/>
      <c r="CXR12" s="513"/>
      <c r="CXS12" s="513"/>
      <c r="CXT12" s="513"/>
      <c r="CXU12" s="513"/>
      <c r="CXV12" s="513"/>
      <c r="CXW12" s="513"/>
      <c r="CXX12" s="513"/>
      <c r="CXY12" s="513"/>
      <c r="CXZ12" s="513"/>
      <c r="CYA12" s="513"/>
      <c r="CYB12" s="513"/>
      <c r="CYC12" s="513"/>
      <c r="CYD12" s="513"/>
      <c r="CYE12" s="513"/>
      <c r="CYF12" s="513"/>
      <c r="CYG12" s="513"/>
      <c r="CYH12" s="513"/>
      <c r="CYI12" s="513"/>
      <c r="CYJ12" s="513"/>
      <c r="CYK12" s="513"/>
      <c r="CYL12" s="513"/>
      <c r="CYM12" s="513"/>
      <c r="CYN12" s="513"/>
      <c r="CYO12" s="513"/>
      <c r="CYP12" s="513"/>
      <c r="CYQ12" s="513"/>
      <c r="CYR12" s="513"/>
      <c r="CYS12" s="513"/>
      <c r="CYT12" s="513"/>
      <c r="CYU12" s="513"/>
      <c r="CYV12" s="513"/>
      <c r="CYW12" s="513"/>
      <c r="CYX12" s="513"/>
      <c r="CYY12" s="513"/>
      <c r="CYZ12" s="513"/>
      <c r="CZA12" s="513"/>
      <c r="CZB12" s="513"/>
      <c r="CZC12" s="513"/>
      <c r="CZD12" s="513"/>
      <c r="CZE12" s="513"/>
      <c r="CZF12" s="513"/>
      <c r="CZG12" s="513"/>
      <c r="CZH12" s="513"/>
      <c r="CZI12" s="513"/>
      <c r="CZJ12" s="513"/>
      <c r="CZK12" s="513"/>
      <c r="CZL12" s="513"/>
      <c r="CZM12" s="513"/>
      <c r="CZN12" s="513"/>
      <c r="CZO12" s="513"/>
      <c r="CZP12" s="513"/>
      <c r="CZQ12" s="513"/>
      <c r="CZR12" s="513"/>
      <c r="CZS12" s="513"/>
      <c r="CZT12" s="513"/>
      <c r="CZU12" s="513"/>
      <c r="CZV12" s="513"/>
      <c r="CZW12" s="513"/>
      <c r="CZX12" s="513"/>
      <c r="CZY12" s="513"/>
      <c r="CZZ12" s="513"/>
      <c r="DAA12" s="513"/>
      <c r="DAB12" s="513"/>
      <c r="DAC12" s="513"/>
      <c r="DAD12" s="513"/>
      <c r="DAE12" s="513"/>
      <c r="DAF12" s="513"/>
      <c r="DAG12" s="513"/>
      <c r="DAH12" s="513"/>
      <c r="DAI12" s="513"/>
      <c r="DAJ12" s="513"/>
      <c r="DAK12" s="513"/>
      <c r="DAL12" s="513"/>
      <c r="DAM12" s="513"/>
      <c r="DAN12" s="513"/>
      <c r="DAO12" s="513"/>
      <c r="DAP12" s="513"/>
      <c r="DAQ12" s="513"/>
      <c r="DAR12" s="513"/>
      <c r="DAS12" s="513"/>
      <c r="DAT12" s="513"/>
      <c r="DAU12" s="513"/>
      <c r="DAV12" s="513"/>
      <c r="DAW12" s="513"/>
      <c r="DAX12" s="513"/>
      <c r="DAY12" s="513"/>
      <c r="DAZ12" s="513"/>
      <c r="DBA12" s="513"/>
      <c r="DBB12" s="513"/>
      <c r="DBC12" s="513"/>
      <c r="DBD12" s="513"/>
      <c r="DBE12" s="513"/>
      <c r="DBF12" s="513"/>
      <c r="DBG12" s="513"/>
      <c r="DBH12" s="513"/>
      <c r="DBI12" s="513"/>
      <c r="DBJ12" s="513"/>
      <c r="DBK12" s="513"/>
      <c r="DBL12" s="513"/>
      <c r="DBM12" s="513"/>
      <c r="DBN12" s="513"/>
      <c r="DBO12" s="513"/>
      <c r="DBP12" s="513"/>
      <c r="DBQ12" s="513"/>
      <c r="DBR12" s="513"/>
      <c r="DBS12" s="513"/>
      <c r="DBT12" s="513"/>
      <c r="DBU12" s="513"/>
      <c r="DBV12" s="513"/>
      <c r="DBW12" s="513"/>
      <c r="DBX12" s="513"/>
      <c r="DBY12" s="513"/>
      <c r="DBZ12" s="513"/>
      <c r="DCA12" s="513"/>
      <c r="DCB12" s="513"/>
      <c r="DCC12" s="513"/>
      <c r="DCD12" s="513"/>
      <c r="DCE12" s="513"/>
      <c r="DCF12" s="513"/>
      <c r="DCG12" s="513"/>
      <c r="DCH12" s="513"/>
      <c r="DCI12" s="513"/>
      <c r="DCJ12" s="513"/>
      <c r="DCK12" s="513"/>
      <c r="DCL12" s="513"/>
      <c r="DCM12" s="513"/>
      <c r="DCN12" s="513"/>
      <c r="DCO12" s="513"/>
      <c r="DCP12" s="513"/>
      <c r="DCQ12" s="513"/>
      <c r="DCR12" s="513"/>
      <c r="DCS12" s="513"/>
      <c r="DCT12" s="513"/>
      <c r="DCU12" s="513"/>
      <c r="DCV12" s="513"/>
      <c r="DCW12" s="513"/>
      <c r="DCX12" s="513"/>
      <c r="DCY12" s="513"/>
      <c r="DCZ12" s="513"/>
      <c r="DDA12" s="513"/>
      <c r="DDB12" s="513"/>
      <c r="DDC12" s="513"/>
      <c r="DDD12" s="513"/>
      <c r="DDE12" s="513"/>
      <c r="DDF12" s="513"/>
      <c r="DDG12" s="513"/>
      <c r="DDH12" s="513"/>
      <c r="DDI12" s="513"/>
      <c r="DDJ12" s="513"/>
      <c r="DDK12" s="513"/>
      <c r="DDL12" s="513"/>
      <c r="DDM12" s="513"/>
      <c r="DDN12" s="513"/>
      <c r="DDO12" s="513"/>
      <c r="DDP12" s="513"/>
      <c r="DDQ12" s="513"/>
      <c r="DDR12" s="513"/>
      <c r="DDS12" s="513"/>
      <c r="DDT12" s="513"/>
      <c r="DDU12" s="513"/>
      <c r="DDV12" s="513"/>
      <c r="DDW12" s="513"/>
      <c r="DDX12" s="513"/>
      <c r="DDY12" s="513"/>
      <c r="DDZ12" s="513"/>
      <c r="DEA12" s="513"/>
      <c r="DEB12" s="513"/>
      <c r="DEC12" s="513"/>
      <c r="DED12" s="513"/>
      <c r="DEE12" s="513"/>
      <c r="DEF12" s="513"/>
      <c r="DEG12" s="513"/>
      <c r="DEH12" s="513"/>
      <c r="DEI12" s="513"/>
      <c r="DEJ12" s="513"/>
      <c r="DEK12" s="513"/>
      <c r="DEL12" s="513"/>
      <c r="DEM12" s="513"/>
      <c r="DEN12" s="513"/>
      <c r="DEO12" s="513"/>
      <c r="DEP12" s="513"/>
      <c r="DEQ12" s="513"/>
      <c r="DER12" s="513"/>
      <c r="DES12" s="513"/>
      <c r="DET12" s="513"/>
      <c r="DEU12" s="513"/>
      <c r="DEV12" s="513"/>
      <c r="DEW12" s="513"/>
      <c r="DEX12" s="513"/>
      <c r="DEY12" s="513"/>
      <c r="DEZ12" s="513"/>
      <c r="DFA12" s="513"/>
      <c r="DFB12" s="513"/>
      <c r="DFC12" s="513"/>
      <c r="DFD12" s="513"/>
      <c r="DFE12" s="513"/>
      <c r="DFF12" s="513"/>
      <c r="DFG12" s="513"/>
      <c r="DFH12" s="513"/>
      <c r="DFI12" s="513"/>
      <c r="DFJ12" s="513"/>
      <c r="DFK12" s="513"/>
      <c r="DFL12" s="513"/>
      <c r="DFM12" s="513"/>
      <c r="DFN12" s="513"/>
      <c r="DFO12" s="513"/>
      <c r="DFP12" s="513"/>
      <c r="DFQ12" s="513"/>
      <c r="DFR12" s="513"/>
      <c r="DFS12" s="513"/>
      <c r="DFT12" s="513"/>
      <c r="DFU12" s="513"/>
      <c r="DFV12" s="513"/>
      <c r="DFW12" s="513"/>
      <c r="DFX12" s="513"/>
      <c r="DFY12" s="513"/>
      <c r="DFZ12" s="513"/>
      <c r="DGA12" s="513"/>
      <c r="DGB12" s="513"/>
      <c r="DGC12" s="513"/>
      <c r="DGD12" s="513"/>
      <c r="DGE12" s="513"/>
      <c r="DGF12" s="513"/>
      <c r="DGG12" s="513"/>
      <c r="DGH12" s="513"/>
      <c r="DGI12" s="513"/>
      <c r="DGJ12" s="513"/>
      <c r="DGK12" s="513"/>
      <c r="DGL12" s="513"/>
      <c r="DGM12" s="513"/>
      <c r="DGN12" s="513"/>
      <c r="DGO12" s="513"/>
      <c r="DGP12" s="513"/>
      <c r="DGQ12" s="513"/>
      <c r="DGR12" s="513"/>
      <c r="DGS12" s="513"/>
      <c r="DGT12" s="513"/>
      <c r="DGU12" s="513"/>
      <c r="DGV12" s="513"/>
      <c r="DGW12" s="513"/>
      <c r="DGX12" s="513"/>
      <c r="DGY12" s="513"/>
      <c r="DGZ12" s="513"/>
      <c r="DHA12" s="513"/>
      <c r="DHB12" s="513"/>
      <c r="DHC12" s="513"/>
      <c r="DHD12" s="513"/>
      <c r="DHE12" s="513"/>
      <c r="DHF12" s="513"/>
      <c r="DHG12" s="513"/>
      <c r="DHH12" s="513"/>
      <c r="DHI12" s="513"/>
      <c r="DHJ12" s="513"/>
      <c r="DHK12" s="513"/>
      <c r="DHL12" s="513"/>
      <c r="DHM12" s="513"/>
      <c r="DHN12" s="513"/>
      <c r="DHO12" s="513"/>
      <c r="DHP12" s="513"/>
      <c r="DHQ12" s="513"/>
      <c r="DHR12" s="513"/>
      <c r="DHS12" s="513"/>
      <c r="DHT12" s="513"/>
      <c r="DHU12" s="513"/>
      <c r="DHV12" s="513"/>
      <c r="DHW12" s="513"/>
      <c r="DHX12" s="513"/>
      <c r="DHY12" s="513"/>
      <c r="DHZ12" s="513"/>
      <c r="DIA12" s="513"/>
      <c r="DIB12" s="513"/>
      <c r="DIC12" s="513"/>
      <c r="DID12" s="513"/>
      <c r="DIE12" s="513"/>
      <c r="DIF12" s="513"/>
      <c r="DIG12" s="513"/>
      <c r="DIH12" s="513"/>
      <c r="DII12" s="513"/>
      <c r="DIJ12" s="513"/>
      <c r="DIK12" s="513"/>
      <c r="DIL12" s="513"/>
      <c r="DIM12" s="513"/>
      <c r="DIN12" s="513"/>
      <c r="DIO12" s="513"/>
      <c r="DIP12" s="513"/>
      <c r="DIQ12" s="513"/>
      <c r="DIR12" s="513"/>
      <c r="DIS12" s="513"/>
      <c r="DIT12" s="513"/>
      <c r="DIU12" s="513"/>
      <c r="DIV12" s="513"/>
      <c r="DIW12" s="513"/>
      <c r="DIX12" s="513"/>
      <c r="DIY12" s="513"/>
      <c r="DIZ12" s="513"/>
      <c r="DJA12" s="513"/>
      <c r="DJB12" s="513"/>
      <c r="DJC12" s="513"/>
      <c r="DJD12" s="513"/>
      <c r="DJE12" s="513"/>
      <c r="DJF12" s="513"/>
      <c r="DJG12" s="513"/>
      <c r="DJH12" s="513"/>
      <c r="DJI12" s="513"/>
      <c r="DJJ12" s="513"/>
      <c r="DJK12" s="513"/>
      <c r="DJL12" s="513"/>
      <c r="DJM12" s="513"/>
      <c r="DJN12" s="513"/>
      <c r="DJO12" s="513"/>
      <c r="DJP12" s="513"/>
      <c r="DJQ12" s="513"/>
      <c r="DJR12" s="513"/>
      <c r="DJS12" s="513"/>
      <c r="DJT12" s="513"/>
      <c r="DJU12" s="513"/>
      <c r="DJV12" s="513"/>
      <c r="DJW12" s="513"/>
      <c r="DJX12" s="513"/>
      <c r="DJY12" s="513"/>
      <c r="DJZ12" s="513"/>
      <c r="DKA12" s="513"/>
      <c r="DKB12" s="513"/>
      <c r="DKC12" s="513"/>
      <c r="DKD12" s="513"/>
      <c r="DKE12" s="513"/>
      <c r="DKF12" s="513"/>
      <c r="DKG12" s="513"/>
      <c r="DKH12" s="513"/>
      <c r="DKI12" s="513"/>
      <c r="DKJ12" s="513"/>
      <c r="DKK12" s="513"/>
      <c r="DKL12" s="513"/>
      <c r="DKM12" s="513"/>
      <c r="DKN12" s="513"/>
      <c r="DKO12" s="513"/>
      <c r="DKP12" s="513"/>
      <c r="DKQ12" s="513"/>
      <c r="DKR12" s="513"/>
      <c r="DKS12" s="513"/>
      <c r="DKT12" s="513"/>
      <c r="DKU12" s="513"/>
      <c r="DKV12" s="513"/>
      <c r="DKW12" s="513"/>
      <c r="DKX12" s="513"/>
      <c r="DKY12" s="513"/>
      <c r="DKZ12" s="513"/>
      <c r="DLA12" s="513"/>
      <c r="DLB12" s="513"/>
      <c r="DLC12" s="513"/>
      <c r="DLD12" s="513"/>
      <c r="DLE12" s="513"/>
      <c r="DLF12" s="513"/>
      <c r="DLG12" s="513"/>
      <c r="DLH12" s="513"/>
      <c r="DLI12" s="513"/>
      <c r="DLJ12" s="513"/>
      <c r="DLK12" s="513"/>
      <c r="DLL12" s="513"/>
      <c r="DLM12" s="513"/>
      <c r="DLN12" s="513"/>
      <c r="DLO12" s="513"/>
      <c r="DLP12" s="513"/>
      <c r="DLQ12" s="513"/>
      <c r="DLR12" s="513"/>
      <c r="DLS12" s="513"/>
      <c r="DLT12" s="513"/>
      <c r="DLU12" s="513"/>
      <c r="DLV12" s="513"/>
      <c r="DLW12" s="513"/>
      <c r="DLX12" s="513"/>
      <c r="DLY12" s="513"/>
      <c r="DLZ12" s="513"/>
      <c r="DMA12" s="513"/>
      <c r="DMB12" s="513"/>
      <c r="DMC12" s="513"/>
      <c r="DMD12" s="513"/>
      <c r="DME12" s="513"/>
      <c r="DMF12" s="513"/>
      <c r="DMG12" s="513"/>
      <c r="DMH12" s="513"/>
      <c r="DMI12" s="513"/>
      <c r="DMJ12" s="513"/>
      <c r="DMK12" s="513"/>
      <c r="DML12" s="513"/>
      <c r="DMM12" s="513"/>
      <c r="DMN12" s="513"/>
      <c r="DMO12" s="513"/>
      <c r="DMP12" s="513"/>
      <c r="DMQ12" s="513"/>
      <c r="DMR12" s="513"/>
      <c r="DMS12" s="513"/>
      <c r="DMT12" s="513"/>
      <c r="DMU12" s="513"/>
      <c r="DMV12" s="513"/>
      <c r="DMW12" s="513"/>
      <c r="DMX12" s="513"/>
      <c r="DMY12" s="513"/>
      <c r="DMZ12" s="513"/>
      <c r="DNA12" s="513"/>
      <c r="DNB12" s="513"/>
      <c r="DNC12" s="513"/>
      <c r="DND12" s="513"/>
      <c r="DNE12" s="513"/>
      <c r="DNF12" s="513"/>
      <c r="DNG12" s="513"/>
      <c r="DNH12" s="513"/>
      <c r="DNI12" s="513"/>
      <c r="DNJ12" s="513"/>
      <c r="DNK12" s="513"/>
      <c r="DNL12" s="513"/>
      <c r="DNM12" s="513"/>
      <c r="DNN12" s="513"/>
      <c r="DNO12" s="513"/>
      <c r="DNP12" s="513"/>
      <c r="DNQ12" s="513"/>
      <c r="DNR12" s="513"/>
      <c r="DNS12" s="513"/>
      <c r="DNT12" s="513"/>
      <c r="DNU12" s="513"/>
      <c r="DNV12" s="513"/>
      <c r="DNW12" s="513"/>
      <c r="DNX12" s="513"/>
      <c r="DNY12" s="513"/>
      <c r="DNZ12" s="513"/>
      <c r="DOA12" s="513"/>
      <c r="DOB12" s="513"/>
      <c r="DOC12" s="513"/>
      <c r="DOD12" s="513"/>
      <c r="DOE12" s="513"/>
      <c r="DOF12" s="513"/>
      <c r="DOG12" s="513"/>
      <c r="DOH12" s="513"/>
      <c r="DOI12" s="513"/>
      <c r="DOJ12" s="513"/>
      <c r="DOK12" s="513"/>
      <c r="DOL12" s="513"/>
      <c r="DOM12" s="513"/>
      <c r="DON12" s="513"/>
      <c r="DOO12" s="513"/>
      <c r="DOP12" s="513"/>
      <c r="DOQ12" s="513"/>
      <c r="DOR12" s="513"/>
      <c r="DOS12" s="513"/>
      <c r="DOT12" s="513"/>
      <c r="DOU12" s="513"/>
      <c r="DOV12" s="513"/>
      <c r="DOW12" s="513"/>
      <c r="DOX12" s="513"/>
      <c r="DOY12" s="513"/>
      <c r="DOZ12" s="513"/>
      <c r="DPA12" s="513"/>
      <c r="DPB12" s="513"/>
      <c r="DPC12" s="513"/>
      <c r="DPD12" s="513"/>
      <c r="DPE12" s="513"/>
      <c r="DPF12" s="513"/>
      <c r="DPG12" s="513"/>
      <c r="DPH12" s="513"/>
      <c r="DPI12" s="513"/>
      <c r="DPJ12" s="513"/>
      <c r="DPK12" s="513"/>
      <c r="DPL12" s="513"/>
      <c r="DPM12" s="513"/>
      <c r="DPN12" s="513"/>
      <c r="DPO12" s="513"/>
      <c r="DPP12" s="513"/>
      <c r="DPQ12" s="513"/>
      <c r="DPR12" s="513"/>
      <c r="DPS12" s="513"/>
      <c r="DPT12" s="513"/>
      <c r="DPU12" s="513"/>
      <c r="DPV12" s="513"/>
      <c r="DPW12" s="513"/>
      <c r="DPX12" s="513"/>
      <c r="DPY12" s="513"/>
      <c r="DPZ12" s="513"/>
      <c r="DQA12" s="513"/>
      <c r="DQB12" s="513"/>
      <c r="DQC12" s="513"/>
      <c r="DQD12" s="513"/>
      <c r="DQE12" s="513"/>
      <c r="DQF12" s="513"/>
      <c r="DQG12" s="513"/>
      <c r="DQH12" s="513"/>
      <c r="DQI12" s="513"/>
      <c r="DQJ12" s="513"/>
      <c r="DQK12" s="513"/>
      <c r="DQL12" s="513"/>
      <c r="DQM12" s="513"/>
      <c r="DQN12" s="513"/>
      <c r="DQO12" s="513"/>
      <c r="DQP12" s="513"/>
      <c r="DQQ12" s="513"/>
      <c r="DQR12" s="513"/>
      <c r="DQS12" s="513"/>
      <c r="DQT12" s="513"/>
      <c r="DQU12" s="513"/>
      <c r="DQV12" s="513"/>
      <c r="DQW12" s="513"/>
      <c r="DQX12" s="513"/>
      <c r="DQY12" s="513"/>
      <c r="DQZ12" s="513"/>
      <c r="DRA12" s="513"/>
      <c r="DRB12" s="513"/>
      <c r="DRC12" s="513"/>
      <c r="DRD12" s="513"/>
      <c r="DRE12" s="513"/>
      <c r="DRF12" s="513"/>
      <c r="DRG12" s="513"/>
      <c r="DRH12" s="513"/>
      <c r="DRI12" s="513"/>
      <c r="DRJ12" s="513"/>
      <c r="DRK12" s="513"/>
      <c r="DRL12" s="513"/>
      <c r="DRM12" s="513"/>
      <c r="DRN12" s="513"/>
      <c r="DRO12" s="513"/>
      <c r="DRP12" s="513"/>
      <c r="DRQ12" s="513"/>
      <c r="DRR12" s="513"/>
      <c r="DRS12" s="513"/>
      <c r="DRT12" s="513"/>
      <c r="DRU12" s="513"/>
      <c r="DRV12" s="513"/>
      <c r="DRW12" s="513"/>
      <c r="DRX12" s="513"/>
      <c r="DRY12" s="513"/>
      <c r="DRZ12" s="513"/>
      <c r="DSA12" s="513"/>
      <c r="DSB12" s="513"/>
      <c r="DSC12" s="513"/>
      <c r="DSD12" s="513"/>
      <c r="DSE12" s="513"/>
      <c r="DSF12" s="513"/>
      <c r="DSG12" s="513"/>
      <c r="DSH12" s="513"/>
      <c r="DSI12" s="513"/>
      <c r="DSJ12" s="513"/>
      <c r="DSK12" s="513"/>
      <c r="DSL12" s="513"/>
      <c r="DSM12" s="513"/>
      <c r="DSN12" s="513"/>
      <c r="DSO12" s="513"/>
      <c r="DSP12" s="513"/>
      <c r="DSQ12" s="513"/>
      <c r="DSR12" s="513"/>
      <c r="DSS12" s="513"/>
      <c r="DST12" s="513"/>
      <c r="DSU12" s="513"/>
      <c r="DSV12" s="513"/>
      <c r="DSW12" s="513"/>
      <c r="DSX12" s="513"/>
      <c r="DSY12" s="513"/>
      <c r="DSZ12" s="513"/>
      <c r="DTA12" s="513"/>
      <c r="DTB12" s="513"/>
      <c r="DTC12" s="513"/>
      <c r="DTD12" s="513"/>
      <c r="DTE12" s="513"/>
      <c r="DTF12" s="513"/>
      <c r="DTG12" s="513"/>
      <c r="DTH12" s="513"/>
      <c r="DTI12" s="513"/>
      <c r="DTJ12" s="513"/>
      <c r="DTK12" s="513"/>
      <c r="DTL12" s="513"/>
      <c r="DTM12" s="513"/>
      <c r="DTN12" s="513"/>
      <c r="DTO12" s="513"/>
      <c r="DTP12" s="513"/>
      <c r="DTQ12" s="513"/>
      <c r="DTR12" s="513"/>
      <c r="DTS12" s="513"/>
      <c r="DTT12" s="513"/>
      <c r="DTU12" s="513"/>
      <c r="DTV12" s="513"/>
      <c r="DTW12" s="513"/>
      <c r="DTX12" s="513"/>
      <c r="DTY12" s="513"/>
      <c r="DTZ12" s="513"/>
      <c r="DUA12" s="513"/>
      <c r="DUB12" s="513"/>
      <c r="DUC12" s="513"/>
      <c r="DUD12" s="513"/>
      <c r="DUE12" s="513"/>
      <c r="DUF12" s="513"/>
      <c r="DUG12" s="513"/>
      <c r="DUH12" s="513"/>
      <c r="DUI12" s="513"/>
      <c r="DUJ12" s="513"/>
      <c r="DUK12" s="513"/>
      <c r="DUL12" s="513"/>
      <c r="DUM12" s="513"/>
      <c r="DUN12" s="513"/>
      <c r="DUO12" s="513"/>
      <c r="DUP12" s="513"/>
      <c r="DUQ12" s="513"/>
      <c r="DUR12" s="513"/>
      <c r="DUS12" s="513"/>
      <c r="DUT12" s="513"/>
      <c r="DUU12" s="513"/>
      <c r="DUV12" s="513"/>
      <c r="DUW12" s="513"/>
      <c r="DUX12" s="513"/>
      <c r="DUY12" s="513"/>
      <c r="DUZ12" s="513"/>
      <c r="DVA12" s="513"/>
      <c r="DVB12" s="513"/>
      <c r="DVC12" s="513"/>
      <c r="DVD12" s="513"/>
      <c r="DVE12" s="513"/>
      <c r="DVF12" s="513"/>
      <c r="DVG12" s="513"/>
      <c r="DVH12" s="513"/>
      <c r="DVI12" s="513"/>
      <c r="DVJ12" s="513"/>
      <c r="DVK12" s="513"/>
      <c r="DVL12" s="513"/>
      <c r="DVM12" s="513"/>
      <c r="DVN12" s="513"/>
      <c r="DVO12" s="513"/>
      <c r="DVP12" s="513"/>
      <c r="DVQ12" s="513"/>
      <c r="DVR12" s="513"/>
      <c r="DVS12" s="513"/>
      <c r="DVT12" s="513"/>
      <c r="DVU12" s="513"/>
      <c r="DVV12" s="513"/>
      <c r="DVW12" s="513"/>
      <c r="DVX12" s="513"/>
      <c r="DVY12" s="513"/>
      <c r="DVZ12" s="513"/>
      <c r="DWA12" s="513"/>
      <c r="DWB12" s="513"/>
      <c r="DWC12" s="513"/>
      <c r="DWD12" s="513"/>
      <c r="DWE12" s="513"/>
      <c r="DWF12" s="513"/>
      <c r="DWG12" s="513"/>
      <c r="DWH12" s="513"/>
      <c r="DWI12" s="513"/>
      <c r="DWJ12" s="513"/>
      <c r="DWK12" s="513"/>
      <c r="DWL12" s="513"/>
      <c r="DWM12" s="513"/>
      <c r="DWN12" s="513"/>
      <c r="DWO12" s="513"/>
      <c r="DWP12" s="513"/>
      <c r="DWQ12" s="513"/>
      <c r="DWR12" s="513"/>
      <c r="DWS12" s="513"/>
      <c r="DWT12" s="513"/>
      <c r="DWU12" s="513"/>
      <c r="DWV12" s="513"/>
      <c r="DWW12" s="513"/>
      <c r="DWX12" s="513"/>
      <c r="DWY12" s="513"/>
      <c r="DWZ12" s="513"/>
      <c r="DXA12" s="513"/>
      <c r="DXB12" s="513"/>
      <c r="DXC12" s="513"/>
      <c r="DXD12" s="513"/>
      <c r="DXE12" s="513"/>
      <c r="DXF12" s="513"/>
      <c r="DXG12" s="513"/>
      <c r="DXH12" s="513"/>
      <c r="DXI12" s="513"/>
      <c r="DXJ12" s="513"/>
      <c r="DXK12" s="513"/>
      <c r="DXL12" s="513"/>
      <c r="DXM12" s="513"/>
      <c r="DXN12" s="513"/>
      <c r="DXO12" s="513"/>
      <c r="DXP12" s="513"/>
      <c r="DXQ12" s="513"/>
      <c r="DXR12" s="513"/>
      <c r="DXS12" s="513"/>
      <c r="DXT12" s="513"/>
      <c r="DXU12" s="513"/>
      <c r="DXV12" s="513"/>
      <c r="DXW12" s="513"/>
      <c r="DXX12" s="513"/>
      <c r="DXY12" s="513"/>
      <c r="DXZ12" s="513"/>
      <c r="DYA12" s="513"/>
      <c r="DYB12" s="513"/>
      <c r="DYC12" s="513"/>
      <c r="DYD12" s="513"/>
      <c r="DYE12" s="513"/>
      <c r="DYF12" s="513"/>
      <c r="DYG12" s="513"/>
      <c r="DYH12" s="513"/>
      <c r="DYI12" s="513"/>
      <c r="DYJ12" s="513"/>
      <c r="DYK12" s="513"/>
      <c r="DYL12" s="513"/>
      <c r="DYM12" s="513"/>
      <c r="DYN12" s="513"/>
      <c r="DYO12" s="513"/>
      <c r="DYP12" s="513"/>
      <c r="DYQ12" s="513"/>
      <c r="DYR12" s="513"/>
      <c r="DYS12" s="513"/>
      <c r="DYT12" s="513"/>
      <c r="DYU12" s="513"/>
      <c r="DYV12" s="513"/>
      <c r="DYW12" s="513"/>
      <c r="DYX12" s="513"/>
      <c r="DYY12" s="513"/>
      <c r="DYZ12" s="513"/>
      <c r="DZA12" s="513"/>
      <c r="DZB12" s="513"/>
      <c r="DZC12" s="513"/>
      <c r="DZD12" s="513"/>
      <c r="DZE12" s="513"/>
      <c r="DZF12" s="513"/>
      <c r="DZG12" s="513"/>
      <c r="DZH12" s="513"/>
      <c r="DZI12" s="513"/>
      <c r="DZJ12" s="513"/>
      <c r="DZK12" s="513"/>
      <c r="DZL12" s="513"/>
      <c r="DZM12" s="513"/>
      <c r="DZN12" s="513"/>
      <c r="DZO12" s="513"/>
      <c r="DZP12" s="513"/>
      <c r="DZQ12" s="513"/>
      <c r="DZR12" s="513"/>
      <c r="DZS12" s="513"/>
      <c r="DZT12" s="513"/>
      <c r="DZU12" s="513"/>
      <c r="DZV12" s="513"/>
      <c r="DZW12" s="513"/>
      <c r="DZX12" s="513"/>
      <c r="DZY12" s="513"/>
      <c r="DZZ12" s="513"/>
      <c r="EAA12" s="513"/>
      <c r="EAB12" s="513"/>
      <c r="EAC12" s="513"/>
      <c r="EAD12" s="513"/>
      <c r="EAE12" s="513"/>
      <c r="EAF12" s="513"/>
      <c r="EAG12" s="513"/>
      <c r="EAH12" s="513"/>
      <c r="EAI12" s="513"/>
      <c r="EAJ12" s="513"/>
      <c r="EAK12" s="513"/>
      <c r="EAL12" s="513"/>
      <c r="EAM12" s="513"/>
      <c r="EAN12" s="513"/>
      <c r="EAO12" s="513"/>
      <c r="EAP12" s="513"/>
      <c r="EAQ12" s="513"/>
      <c r="EAR12" s="513"/>
      <c r="EAS12" s="513"/>
      <c r="EAT12" s="513"/>
      <c r="EAU12" s="513"/>
      <c r="EAV12" s="513"/>
      <c r="EAW12" s="513"/>
      <c r="EAX12" s="513"/>
      <c r="EAY12" s="513"/>
      <c r="EAZ12" s="513"/>
      <c r="EBA12" s="513"/>
      <c r="EBB12" s="513"/>
      <c r="EBC12" s="513"/>
      <c r="EBD12" s="513"/>
      <c r="EBE12" s="513"/>
      <c r="EBF12" s="513"/>
      <c r="EBG12" s="513"/>
      <c r="EBH12" s="513"/>
      <c r="EBI12" s="513"/>
      <c r="EBJ12" s="513"/>
      <c r="EBK12" s="513"/>
      <c r="EBL12" s="513"/>
      <c r="EBM12" s="513"/>
      <c r="EBN12" s="513"/>
      <c r="EBO12" s="513"/>
      <c r="EBP12" s="513"/>
      <c r="EBQ12" s="513"/>
      <c r="EBR12" s="513"/>
      <c r="EBS12" s="513"/>
      <c r="EBT12" s="513"/>
      <c r="EBU12" s="513"/>
      <c r="EBV12" s="513"/>
      <c r="EBW12" s="513"/>
      <c r="EBX12" s="513"/>
      <c r="EBY12" s="513"/>
      <c r="EBZ12" s="513"/>
      <c r="ECA12" s="513"/>
      <c r="ECB12" s="513"/>
      <c r="ECC12" s="513"/>
      <c r="ECD12" s="513"/>
      <c r="ECE12" s="513"/>
      <c r="ECF12" s="513"/>
      <c r="ECG12" s="513"/>
      <c r="ECH12" s="513"/>
      <c r="ECI12" s="513"/>
      <c r="ECJ12" s="513"/>
      <c r="ECK12" s="513"/>
      <c r="ECL12" s="513"/>
      <c r="ECM12" s="513"/>
      <c r="ECN12" s="513"/>
      <c r="ECO12" s="513"/>
      <c r="ECP12" s="513"/>
      <c r="ECQ12" s="513"/>
      <c r="ECR12" s="513"/>
      <c r="ECS12" s="513"/>
      <c r="ECT12" s="513"/>
      <c r="ECU12" s="513"/>
      <c r="ECV12" s="513"/>
      <c r="ECW12" s="513"/>
      <c r="ECX12" s="513"/>
      <c r="ECY12" s="513"/>
      <c r="ECZ12" s="513"/>
      <c r="EDA12" s="513"/>
      <c r="EDB12" s="513"/>
      <c r="EDC12" s="513"/>
      <c r="EDD12" s="513"/>
      <c r="EDE12" s="513"/>
      <c r="EDF12" s="513"/>
      <c r="EDG12" s="513"/>
      <c r="EDH12" s="513"/>
      <c r="EDI12" s="513"/>
      <c r="EDJ12" s="513"/>
      <c r="EDK12" s="513"/>
      <c r="EDL12" s="513"/>
      <c r="EDM12" s="513"/>
      <c r="EDN12" s="513"/>
      <c r="EDO12" s="513"/>
      <c r="EDP12" s="513"/>
      <c r="EDQ12" s="513"/>
      <c r="EDR12" s="513"/>
      <c r="EDS12" s="513"/>
      <c r="EDT12" s="513"/>
      <c r="EDU12" s="513"/>
      <c r="EDV12" s="513"/>
      <c r="EDW12" s="513"/>
      <c r="EDX12" s="513"/>
      <c r="EDY12" s="513"/>
      <c r="EDZ12" s="513"/>
      <c r="EEA12" s="513"/>
      <c r="EEB12" s="513"/>
      <c r="EEC12" s="513"/>
      <c r="EED12" s="513"/>
      <c r="EEE12" s="513"/>
      <c r="EEF12" s="513"/>
      <c r="EEG12" s="513"/>
      <c r="EEH12" s="513"/>
      <c r="EEI12" s="513"/>
      <c r="EEJ12" s="513"/>
      <c r="EEK12" s="513"/>
      <c r="EEL12" s="513"/>
      <c r="EEM12" s="513"/>
      <c r="EEN12" s="513"/>
      <c r="EEO12" s="513"/>
      <c r="EEP12" s="513"/>
      <c r="EEQ12" s="513"/>
      <c r="EER12" s="513"/>
      <c r="EES12" s="513"/>
      <c r="EET12" s="513"/>
      <c r="EEU12" s="513"/>
      <c r="EEV12" s="513"/>
      <c r="EEW12" s="513"/>
      <c r="EEX12" s="513"/>
      <c r="EEY12" s="513"/>
      <c r="EEZ12" s="513"/>
      <c r="EFA12" s="513"/>
      <c r="EFB12" s="513"/>
      <c r="EFC12" s="513"/>
      <c r="EFD12" s="513"/>
      <c r="EFE12" s="513"/>
      <c r="EFF12" s="513"/>
      <c r="EFG12" s="513"/>
      <c r="EFH12" s="513"/>
      <c r="EFI12" s="513"/>
      <c r="EFJ12" s="513"/>
      <c r="EFK12" s="513"/>
      <c r="EFL12" s="513"/>
      <c r="EFM12" s="513"/>
      <c r="EFN12" s="513"/>
      <c r="EFO12" s="513"/>
      <c r="EFP12" s="513"/>
      <c r="EFQ12" s="513"/>
      <c r="EFR12" s="513"/>
      <c r="EFS12" s="513"/>
      <c r="EFT12" s="513"/>
      <c r="EFU12" s="513"/>
      <c r="EFV12" s="513"/>
      <c r="EFW12" s="513"/>
      <c r="EFX12" s="513"/>
      <c r="EFY12" s="513"/>
      <c r="EFZ12" s="513"/>
      <c r="EGA12" s="513"/>
      <c r="EGB12" s="513"/>
      <c r="EGC12" s="513"/>
      <c r="EGD12" s="513"/>
      <c r="EGE12" s="513"/>
      <c r="EGF12" s="513"/>
      <c r="EGG12" s="513"/>
      <c r="EGH12" s="513"/>
      <c r="EGI12" s="513"/>
      <c r="EGJ12" s="513"/>
      <c r="EGK12" s="513"/>
      <c r="EGL12" s="513"/>
      <c r="EGM12" s="513"/>
      <c r="EGN12" s="513"/>
      <c r="EGO12" s="513"/>
      <c r="EGP12" s="513"/>
      <c r="EGQ12" s="513"/>
      <c r="EGR12" s="513"/>
      <c r="EGS12" s="513"/>
      <c r="EGT12" s="513"/>
      <c r="EGU12" s="513"/>
      <c r="EGV12" s="513"/>
      <c r="EGW12" s="513"/>
      <c r="EGX12" s="513"/>
      <c r="EGY12" s="513"/>
      <c r="EGZ12" s="513"/>
      <c r="EHA12" s="513"/>
      <c r="EHB12" s="513"/>
      <c r="EHC12" s="513"/>
      <c r="EHD12" s="513"/>
      <c r="EHE12" s="513"/>
      <c r="EHF12" s="513"/>
      <c r="EHG12" s="513"/>
      <c r="EHH12" s="513"/>
      <c r="EHI12" s="513"/>
      <c r="EHJ12" s="513"/>
      <c r="EHK12" s="513"/>
      <c r="EHL12" s="513"/>
      <c r="EHM12" s="513"/>
      <c r="EHN12" s="513"/>
      <c r="EHO12" s="513"/>
      <c r="EHP12" s="513"/>
      <c r="EHQ12" s="513"/>
      <c r="EHR12" s="513"/>
      <c r="EHS12" s="513"/>
      <c r="EHT12" s="513"/>
      <c r="EHU12" s="513"/>
      <c r="EHV12" s="513"/>
      <c r="EHW12" s="513"/>
      <c r="EHX12" s="513"/>
      <c r="EHY12" s="513"/>
      <c r="EHZ12" s="513"/>
      <c r="EIA12" s="513"/>
      <c r="EIB12" s="513"/>
      <c r="EIC12" s="513"/>
      <c r="EID12" s="513"/>
      <c r="EIE12" s="513"/>
      <c r="EIF12" s="513"/>
      <c r="EIG12" s="513"/>
      <c r="EIH12" s="513"/>
      <c r="EII12" s="513"/>
      <c r="EIJ12" s="513"/>
      <c r="EIK12" s="513"/>
      <c r="EIL12" s="513"/>
      <c r="EIM12" s="513"/>
      <c r="EIN12" s="513"/>
      <c r="EIO12" s="513"/>
      <c r="EIP12" s="513"/>
      <c r="EIQ12" s="513"/>
      <c r="EIR12" s="513"/>
      <c r="EIS12" s="513"/>
      <c r="EIT12" s="513"/>
      <c r="EIU12" s="513"/>
      <c r="EIV12" s="513"/>
      <c r="EIW12" s="513"/>
      <c r="EIX12" s="513"/>
      <c r="EIY12" s="513"/>
      <c r="EIZ12" s="513"/>
      <c r="EJA12" s="513"/>
      <c r="EJB12" s="513"/>
      <c r="EJC12" s="513"/>
      <c r="EJD12" s="513"/>
      <c r="EJE12" s="513"/>
      <c r="EJF12" s="513"/>
      <c r="EJG12" s="513"/>
      <c r="EJH12" s="513"/>
      <c r="EJI12" s="513"/>
      <c r="EJJ12" s="513"/>
      <c r="EJK12" s="513"/>
      <c r="EJL12" s="513"/>
      <c r="EJM12" s="513"/>
      <c r="EJN12" s="513"/>
      <c r="EJO12" s="513"/>
      <c r="EJP12" s="513"/>
      <c r="EJQ12" s="513"/>
      <c r="EJR12" s="513"/>
      <c r="EJS12" s="513"/>
      <c r="EJT12" s="513"/>
      <c r="EJU12" s="513"/>
      <c r="EJV12" s="513"/>
      <c r="EJW12" s="513"/>
      <c r="EJX12" s="513"/>
      <c r="EJY12" s="513"/>
      <c r="EJZ12" s="513"/>
      <c r="EKA12" s="513"/>
      <c r="EKB12" s="513"/>
      <c r="EKC12" s="513"/>
      <c r="EKD12" s="513"/>
      <c r="EKE12" s="513"/>
      <c r="EKF12" s="513"/>
      <c r="EKG12" s="513"/>
      <c r="EKH12" s="513"/>
      <c r="EKI12" s="513"/>
      <c r="EKJ12" s="513"/>
      <c r="EKK12" s="513"/>
      <c r="EKL12" s="513"/>
      <c r="EKM12" s="513"/>
      <c r="EKN12" s="513"/>
      <c r="EKO12" s="513"/>
      <c r="EKP12" s="513"/>
      <c r="EKQ12" s="513"/>
      <c r="EKR12" s="513"/>
      <c r="EKS12" s="513"/>
      <c r="EKT12" s="513"/>
      <c r="EKU12" s="513"/>
      <c r="EKV12" s="513"/>
      <c r="EKW12" s="513"/>
      <c r="EKX12" s="513"/>
      <c r="EKY12" s="513"/>
      <c r="EKZ12" s="513"/>
      <c r="ELA12" s="513"/>
      <c r="ELB12" s="513"/>
      <c r="ELC12" s="513"/>
      <c r="ELD12" s="513"/>
      <c r="ELE12" s="513"/>
      <c r="ELF12" s="513"/>
      <c r="ELG12" s="513"/>
      <c r="ELH12" s="513"/>
      <c r="ELI12" s="513"/>
      <c r="ELJ12" s="513"/>
      <c r="ELK12" s="513"/>
      <c r="ELL12" s="513"/>
      <c r="ELM12" s="513"/>
      <c r="ELN12" s="513"/>
      <c r="ELO12" s="513"/>
      <c r="ELP12" s="513"/>
      <c r="ELQ12" s="513"/>
      <c r="ELR12" s="513"/>
      <c r="ELS12" s="513"/>
      <c r="ELT12" s="513"/>
      <c r="ELU12" s="513"/>
      <c r="ELV12" s="513"/>
      <c r="ELW12" s="513"/>
      <c r="ELX12" s="513"/>
      <c r="ELY12" s="513"/>
      <c r="ELZ12" s="513"/>
      <c r="EMA12" s="513"/>
      <c r="EMB12" s="513"/>
      <c r="EMC12" s="513"/>
      <c r="EMD12" s="513"/>
      <c r="EME12" s="513"/>
      <c r="EMF12" s="513"/>
      <c r="EMG12" s="513"/>
      <c r="EMH12" s="513"/>
      <c r="EMI12" s="513"/>
      <c r="EMJ12" s="513"/>
      <c r="EMK12" s="513"/>
      <c r="EML12" s="513"/>
      <c r="EMM12" s="513"/>
      <c r="EMN12" s="513"/>
      <c r="EMO12" s="513"/>
      <c r="EMP12" s="513"/>
      <c r="EMQ12" s="513"/>
      <c r="EMR12" s="513"/>
      <c r="EMS12" s="513"/>
      <c r="EMT12" s="513"/>
      <c r="EMU12" s="513"/>
      <c r="EMV12" s="513"/>
      <c r="EMW12" s="513"/>
      <c r="EMX12" s="513"/>
      <c r="EMY12" s="513"/>
      <c r="EMZ12" s="513"/>
      <c r="ENA12" s="513"/>
      <c r="ENB12" s="513"/>
      <c r="ENC12" s="513"/>
      <c r="END12" s="513"/>
      <c r="ENE12" s="513"/>
      <c r="ENF12" s="513"/>
      <c r="ENG12" s="513"/>
      <c r="ENH12" s="513"/>
      <c r="ENI12" s="513"/>
      <c r="ENJ12" s="513"/>
      <c r="ENK12" s="513"/>
      <c r="ENL12" s="513"/>
      <c r="ENM12" s="513"/>
      <c r="ENN12" s="513"/>
      <c r="ENO12" s="513"/>
      <c r="ENP12" s="513"/>
      <c r="ENQ12" s="513"/>
      <c r="ENR12" s="513"/>
      <c r="ENS12" s="513"/>
      <c r="ENT12" s="513"/>
      <c r="ENU12" s="513"/>
      <c r="ENV12" s="513"/>
      <c r="ENW12" s="513"/>
      <c r="ENX12" s="513"/>
      <c r="ENY12" s="513"/>
      <c r="ENZ12" s="513"/>
      <c r="EOA12" s="513"/>
      <c r="EOB12" s="513"/>
      <c r="EOC12" s="513"/>
      <c r="EOD12" s="513"/>
      <c r="EOE12" s="513"/>
      <c r="EOF12" s="513"/>
      <c r="EOG12" s="513"/>
      <c r="EOH12" s="513"/>
      <c r="EOI12" s="513"/>
      <c r="EOJ12" s="513"/>
      <c r="EOK12" s="513"/>
      <c r="EOL12" s="513"/>
      <c r="EOM12" s="513"/>
      <c r="EON12" s="513"/>
      <c r="EOO12" s="513"/>
      <c r="EOP12" s="513"/>
      <c r="EOQ12" s="513"/>
      <c r="EOR12" s="513"/>
      <c r="EOS12" s="513"/>
      <c r="EOT12" s="513"/>
      <c r="EOU12" s="513"/>
      <c r="EOV12" s="513"/>
      <c r="EOW12" s="513"/>
      <c r="EOX12" s="513"/>
      <c r="EOY12" s="513"/>
      <c r="EOZ12" s="513"/>
      <c r="EPA12" s="513"/>
      <c r="EPB12" s="513"/>
      <c r="EPC12" s="513"/>
      <c r="EPD12" s="513"/>
      <c r="EPE12" s="513"/>
      <c r="EPF12" s="513"/>
      <c r="EPG12" s="513"/>
      <c r="EPH12" s="513"/>
      <c r="EPI12" s="513"/>
      <c r="EPJ12" s="513"/>
      <c r="EPK12" s="513"/>
      <c r="EPL12" s="513"/>
      <c r="EPM12" s="513"/>
      <c r="EPN12" s="513"/>
      <c r="EPO12" s="513"/>
      <c r="EPP12" s="513"/>
      <c r="EPQ12" s="513"/>
      <c r="EPR12" s="513"/>
      <c r="EPS12" s="513"/>
      <c r="EPT12" s="513"/>
      <c r="EPU12" s="513"/>
      <c r="EPV12" s="513"/>
      <c r="EPW12" s="513"/>
      <c r="EPX12" s="513"/>
      <c r="EPY12" s="513"/>
      <c r="EPZ12" s="513"/>
      <c r="EQA12" s="513"/>
      <c r="EQB12" s="513"/>
      <c r="EQC12" s="513"/>
      <c r="EQD12" s="513"/>
      <c r="EQE12" s="513"/>
      <c r="EQF12" s="513"/>
      <c r="EQG12" s="513"/>
      <c r="EQH12" s="513"/>
      <c r="EQI12" s="513"/>
      <c r="EQJ12" s="513"/>
      <c r="EQK12" s="513"/>
      <c r="EQL12" s="513"/>
      <c r="EQM12" s="513"/>
      <c r="EQN12" s="513"/>
      <c r="EQO12" s="513"/>
      <c r="EQP12" s="513"/>
      <c r="EQQ12" s="513"/>
      <c r="EQR12" s="513"/>
      <c r="EQS12" s="513"/>
      <c r="EQT12" s="513"/>
      <c r="EQU12" s="513"/>
      <c r="EQV12" s="513"/>
      <c r="EQW12" s="513"/>
      <c r="EQX12" s="513"/>
      <c r="EQY12" s="513"/>
      <c r="EQZ12" s="513"/>
      <c r="ERA12" s="513"/>
      <c r="ERB12" s="513"/>
      <c r="ERC12" s="513"/>
      <c r="ERD12" s="513"/>
      <c r="ERE12" s="513"/>
      <c r="ERF12" s="513"/>
      <c r="ERG12" s="513"/>
      <c r="ERH12" s="513"/>
      <c r="ERI12" s="513"/>
      <c r="ERJ12" s="513"/>
      <c r="ERK12" s="513"/>
      <c r="ERL12" s="513"/>
      <c r="ERM12" s="513"/>
      <c r="ERN12" s="513"/>
      <c r="ERO12" s="513"/>
      <c r="ERP12" s="513"/>
      <c r="ERQ12" s="513"/>
      <c r="ERR12" s="513"/>
      <c r="ERS12" s="513"/>
      <c r="ERT12" s="513"/>
      <c r="ERU12" s="513"/>
      <c r="ERV12" s="513"/>
      <c r="ERW12" s="513"/>
      <c r="ERX12" s="513"/>
      <c r="ERY12" s="513"/>
      <c r="ERZ12" s="513"/>
      <c r="ESA12" s="513"/>
      <c r="ESB12" s="513"/>
      <c r="ESC12" s="513"/>
      <c r="ESD12" s="513"/>
      <c r="ESE12" s="513"/>
      <c r="ESF12" s="513"/>
      <c r="ESG12" s="513"/>
      <c r="ESH12" s="513"/>
      <c r="ESI12" s="513"/>
      <c r="ESJ12" s="513"/>
      <c r="ESK12" s="513"/>
      <c r="ESL12" s="513"/>
      <c r="ESM12" s="513"/>
      <c r="ESN12" s="513"/>
      <c r="ESO12" s="513"/>
      <c r="ESP12" s="513"/>
      <c r="ESQ12" s="513"/>
      <c r="ESR12" s="513"/>
      <c r="ESS12" s="513"/>
      <c r="EST12" s="513"/>
      <c r="ESU12" s="513"/>
      <c r="ESV12" s="513"/>
      <c r="ESW12" s="513"/>
      <c r="ESX12" s="513"/>
      <c r="ESY12" s="513"/>
      <c r="ESZ12" s="513"/>
      <c r="ETA12" s="513"/>
      <c r="ETB12" s="513"/>
      <c r="ETC12" s="513"/>
      <c r="ETD12" s="513"/>
      <c r="ETE12" s="513"/>
      <c r="ETF12" s="513"/>
      <c r="ETG12" s="513"/>
      <c r="ETH12" s="513"/>
      <c r="ETI12" s="513"/>
      <c r="ETJ12" s="513"/>
      <c r="ETK12" s="513"/>
      <c r="ETL12" s="513"/>
      <c r="ETM12" s="513"/>
      <c r="ETN12" s="513"/>
      <c r="ETO12" s="513"/>
      <c r="ETP12" s="513"/>
      <c r="ETQ12" s="513"/>
      <c r="ETR12" s="513"/>
      <c r="ETS12" s="513"/>
      <c r="ETT12" s="513"/>
      <c r="ETU12" s="513"/>
      <c r="ETV12" s="513"/>
      <c r="ETW12" s="513"/>
      <c r="ETX12" s="513"/>
      <c r="ETY12" s="513"/>
      <c r="ETZ12" s="513"/>
      <c r="EUA12" s="513"/>
      <c r="EUB12" s="513"/>
      <c r="EUC12" s="513"/>
      <c r="EUD12" s="513"/>
      <c r="EUE12" s="513"/>
      <c r="EUF12" s="513"/>
      <c r="EUG12" s="513"/>
      <c r="EUH12" s="513"/>
      <c r="EUI12" s="513"/>
      <c r="EUJ12" s="513"/>
      <c r="EUK12" s="513"/>
      <c r="EUL12" s="513"/>
      <c r="EUM12" s="513"/>
      <c r="EUN12" s="513"/>
      <c r="EUO12" s="513"/>
      <c r="EUP12" s="513"/>
      <c r="EUQ12" s="513"/>
      <c r="EUR12" s="513"/>
      <c r="EUS12" s="513"/>
      <c r="EUT12" s="513"/>
      <c r="EUU12" s="513"/>
      <c r="EUV12" s="513"/>
      <c r="EUW12" s="513"/>
      <c r="EUX12" s="513"/>
      <c r="EUY12" s="513"/>
      <c r="EUZ12" s="513"/>
      <c r="EVA12" s="513"/>
      <c r="EVB12" s="513"/>
      <c r="EVC12" s="513"/>
      <c r="EVD12" s="513"/>
      <c r="EVE12" s="513"/>
      <c r="EVF12" s="513"/>
      <c r="EVG12" s="513"/>
      <c r="EVH12" s="513"/>
      <c r="EVI12" s="513"/>
      <c r="EVJ12" s="513"/>
      <c r="EVK12" s="513"/>
      <c r="EVL12" s="513"/>
      <c r="EVM12" s="513"/>
      <c r="EVN12" s="513"/>
      <c r="EVO12" s="513"/>
      <c r="EVP12" s="513"/>
      <c r="EVQ12" s="513"/>
      <c r="EVR12" s="513"/>
      <c r="EVS12" s="513"/>
      <c r="EVT12" s="513"/>
      <c r="EVU12" s="513"/>
      <c r="EVV12" s="513"/>
      <c r="EVW12" s="513"/>
      <c r="EVX12" s="513"/>
      <c r="EVY12" s="513"/>
      <c r="EVZ12" s="513"/>
      <c r="EWA12" s="513"/>
      <c r="EWB12" s="513"/>
      <c r="EWC12" s="513"/>
      <c r="EWD12" s="513"/>
      <c r="EWE12" s="513"/>
      <c r="EWF12" s="513"/>
      <c r="EWG12" s="513"/>
      <c r="EWH12" s="513"/>
      <c r="EWI12" s="513"/>
      <c r="EWJ12" s="513"/>
      <c r="EWK12" s="513"/>
      <c r="EWL12" s="513"/>
      <c r="EWM12" s="513"/>
      <c r="EWN12" s="513"/>
      <c r="EWO12" s="513"/>
      <c r="EWP12" s="513"/>
      <c r="EWQ12" s="513"/>
      <c r="EWR12" s="513"/>
      <c r="EWS12" s="513"/>
      <c r="EWT12" s="513"/>
      <c r="EWU12" s="513"/>
      <c r="EWV12" s="513"/>
      <c r="EWW12" s="513"/>
      <c r="EWX12" s="513"/>
      <c r="EWY12" s="513"/>
      <c r="EWZ12" s="513"/>
      <c r="EXA12" s="513"/>
      <c r="EXB12" s="513"/>
      <c r="EXC12" s="513"/>
      <c r="EXD12" s="513"/>
      <c r="EXE12" s="513"/>
      <c r="EXF12" s="513"/>
      <c r="EXG12" s="513"/>
      <c r="EXH12" s="513"/>
      <c r="EXI12" s="513"/>
      <c r="EXJ12" s="513"/>
      <c r="EXK12" s="513"/>
      <c r="EXL12" s="513"/>
      <c r="EXM12" s="513"/>
      <c r="EXN12" s="513"/>
      <c r="EXO12" s="513"/>
      <c r="EXP12" s="513"/>
      <c r="EXQ12" s="513"/>
      <c r="EXR12" s="513"/>
      <c r="EXS12" s="513"/>
      <c r="EXT12" s="513"/>
      <c r="EXU12" s="513"/>
      <c r="EXV12" s="513"/>
      <c r="EXW12" s="513"/>
      <c r="EXX12" s="513"/>
      <c r="EXY12" s="513"/>
      <c r="EXZ12" s="513"/>
      <c r="EYA12" s="513"/>
      <c r="EYB12" s="513"/>
      <c r="EYC12" s="513"/>
      <c r="EYD12" s="513"/>
      <c r="EYE12" s="513"/>
      <c r="EYF12" s="513"/>
      <c r="EYG12" s="513"/>
      <c r="EYH12" s="513"/>
      <c r="EYI12" s="513"/>
      <c r="EYJ12" s="513"/>
      <c r="EYK12" s="513"/>
      <c r="EYL12" s="513"/>
      <c r="EYM12" s="513"/>
      <c r="EYN12" s="513"/>
      <c r="EYO12" s="513"/>
      <c r="EYP12" s="513"/>
      <c r="EYQ12" s="513"/>
      <c r="EYR12" s="513"/>
      <c r="EYS12" s="513"/>
      <c r="EYT12" s="513"/>
      <c r="EYU12" s="513"/>
      <c r="EYV12" s="513"/>
      <c r="EYW12" s="513"/>
      <c r="EYX12" s="513"/>
      <c r="EYY12" s="513"/>
      <c r="EYZ12" s="513"/>
      <c r="EZA12" s="513"/>
      <c r="EZB12" s="513"/>
      <c r="EZC12" s="513"/>
      <c r="EZD12" s="513"/>
      <c r="EZE12" s="513"/>
      <c r="EZF12" s="513"/>
      <c r="EZG12" s="513"/>
      <c r="EZH12" s="513"/>
      <c r="EZI12" s="513"/>
      <c r="EZJ12" s="513"/>
      <c r="EZK12" s="513"/>
      <c r="EZL12" s="513"/>
      <c r="EZM12" s="513"/>
      <c r="EZN12" s="513"/>
      <c r="EZO12" s="513"/>
      <c r="EZP12" s="513"/>
      <c r="EZQ12" s="513"/>
      <c r="EZR12" s="513"/>
      <c r="EZS12" s="513"/>
      <c r="EZT12" s="513"/>
      <c r="EZU12" s="513"/>
      <c r="EZV12" s="513"/>
      <c r="EZW12" s="513"/>
      <c r="EZX12" s="513"/>
      <c r="EZY12" s="513"/>
      <c r="EZZ12" s="513"/>
      <c r="FAA12" s="513"/>
      <c r="FAB12" s="513"/>
      <c r="FAC12" s="513"/>
      <c r="FAD12" s="513"/>
      <c r="FAE12" s="513"/>
      <c r="FAF12" s="513"/>
      <c r="FAG12" s="513"/>
      <c r="FAH12" s="513"/>
      <c r="FAI12" s="513"/>
      <c r="FAJ12" s="513"/>
      <c r="FAK12" s="513"/>
      <c r="FAL12" s="513"/>
      <c r="FAM12" s="513"/>
      <c r="FAN12" s="513"/>
      <c r="FAO12" s="513"/>
      <c r="FAP12" s="513"/>
      <c r="FAQ12" s="513"/>
      <c r="FAR12" s="513"/>
      <c r="FAS12" s="513"/>
      <c r="FAT12" s="513"/>
      <c r="FAU12" s="513"/>
      <c r="FAV12" s="513"/>
      <c r="FAW12" s="513"/>
      <c r="FAX12" s="513"/>
      <c r="FAY12" s="513"/>
      <c r="FAZ12" s="513"/>
      <c r="FBA12" s="513"/>
      <c r="FBB12" s="513"/>
      <c r="FBC12" s="513"/>
      <c r="FBD12" s="513"/>
      <c r="FBE12" s="513"/>
      <c r="FBF12" s="513"/>
      <c r="FBG12" s="513"/>
      <c r="FBH12" s="513"/>
      <c r="FBI12" s="513"/>
      <c r="FBJ12" s="513"/>
      <c r="FBK12" s="513"/>
      <c r="FBL12" s="513"/>
      <c r="FBM12" s="513"/>
      <c r="FBN12" s="513"/>
      <c r="FBO12" s="513"/>
      <c r="FBP12" s="513"/>
      <c r="FBQ12" s="513"/>
      <c r="FBR12" s="513"/>
      <c r="FBS12" s="513"/>
      <c r="FBT12" s="513"/>
      <c r="FBU12" s="513"/>
      <c r="FBV12" s="513"/>
      <c r="FBW12" s="513"/>
      <c r="FBX12" s="513"/>
      <c r="FBY12" s="513"/>
      <c r="FBZ12" s="513"/>
      <c r="FCA12" s="513"/>
      <c r="FCB12" s="513"/>
      <c r="FCC12" s="513"/>
      <c r="FCD12" s="513"/>
      <c r="FCE12" s="513"/>
      <c r="FCF12" s="513"/>
      <c r="FCG12" s="513"/>
      <c r="FCH12" s="513"/>
      <c r="FCI12" s="513"/>
      <c r="FCJ12" s="513"/>
      <c r="FCK12" s="513"/>
      <c r="FCL12" s="513"/>
      <c r="FCM12" s="513"/>
      <c r="FCN12" s="513"/>
      <c r="FCO12" s="513"/>
      <c r="FCP12" s="513"/>
      <c r="FCQ12" s="513"/>
      <c r="FCR12" s="513"/>
      <c r="FCS12" s="513"/>
      <c r="FCT12" s="513"/>
      <c r="FCU12" s="513"/>
      <c r="FCV12" s="513"/>
      <c r="FCW12" s="513"/>
      <c r="FCX12" s="513"/>
      <c r="FCY12" s="513"/>
      <c r="FCZ12" s="513"/>
      <c r="FDA12" s="513"/>
      <c r="FDB12" s="513"/>
      <c r="FDC12" s="513"/>
      <c r="FDD12" s="513"/>
      <c r="FDE12" s="513"/>
      <c r="FDF12" s="513"/>
      <c r="FDG12" s="513"/>
      <c r="FDH12" s="513"/>
      <c r="FDI12" s="513"/>
      <c r="FDJ12" s="513"/>
      <c r="FDK12" s="513"/>
      <c r="FDL12" s="513"/>
      <c r="FDM12" s="513"/>
      <c r="FDN12" s="513"/>
      <c r="FDO12" s="513"/>
      <c r="FDP12" s="513"/>
      <c r="FDQ12" s="513"/>
      <c r="FDR12" s="513"/>
      <c r="FDS12" s="513"/>
      <c r="FDT12" s="513"/>
      <c r="FDU12" s="513"/>
      <c r="FDV12" s="513"/>
      <c r="FDW12" s="513"/>
      <c r="FDX12" s="513"/>
      <c r="FDY12" s="513"/>
      <c r="FDZ12" s="513"/>
      <c r="FEA12" s="513"/>
      <c r="FEB12" s="513"/>
      <c r="FEC12" s="513"/>
      <c r="FED12" s="513"/>
      <c r="FEE12" s="513"/>
      <c r="FEF12" s="513"/>
      <c r="FEG12" s="513"/>
      <c r="FEH12" s="513"/>
      <c r="FEI12" s="513"/>
      <c r="FEJ12" s="513"/>
      <c r="FEK12" s="513"/>
      <c r="FEL12" s="513"/>
      <c r="FEM12" s="513"/>
      <c r="FEN12" s="513"/>
      <c r="FEO12" s="513"/>
      <c r="FEP12" s="513"/>
      <c r="FEQ12" s="513"/>
      <c r="FER12" s="513"/>
      <c r="FES12" s="513"/>
      <c r="FET12" s="513"/>
      <c r="FEU12" s="513"/>
      <c r="FEV12" s="513"/>
      <c r="FEW12" s="513"/>
      <c r="FEX12" s="513"/>
      <c r="FEY12" s="513"/>
      <c r="FEZ12" s="513"/>
      <c r="FFA12" s="513"/>
      <c r="FFB12" s="513"/>
      <c r="FFC12" s="513"/>
      <c r="FFD12" s="513"/>
      <c r="FFE12" s="513"/>
      <c r="FFF12" s="513"/>
      <c r="FFG12" s="513"/>
      <c r="FFH12" s="513"/>
      <c r="FFI12" s="513"/>
      <c r="FFJ12" s="513"/>
      <c r="FFK12" s="513"/>
      <c r="FFL12" s="513"/>
      <c r="FFM12" s="513"/>
      <c r="FFN12" s="513"/>
      <c r="FFO12" s="513"/>
      <c r="FFP12" s="513"/>
      <c r="FFQ12" s="513"/>
      <c r="FFR12" s="513"/>
      <c r="FFS12" s="513"/>
      <c r="FFT12" s="513"/>
      <c r="FFU12" s="513"/>
      <c r="FFV12" s="513"/>
      <c r="FFW12" s="513"/>
      <c r="FFX12" s="513"/>
      <c r="FFY12" s="513"/>
      <c r="FFZ12" s="513"/>
      <c r="FGA12" s="513"/>
      <c r="FGB12" s="513"/>
      <c r="FGC12" s="513"/>
      <c r="FGD12" s="513"/>
      <c r="FGE12" s="513"/>
      <c r="FGF12" s="513"/>
      <c r="FGG12" s="513"/>
      <c r="FGH12" s="513"/>
      <c r="FGI12" s="513"/>
      <c r="FGJ12" s="513"/>
      <c r="FGK12" s="513"/>
      <c r="FGL12" s="513"/>
      <c r="FGM12" s="513"/>
      <c r="FGN12" s="513"/>
      <c r="FGO12" s="513"/>
      <c r="FGP12" s="513"/>
      <c r="FGQ12" s="513"/>
      <c r="FGR12" s="513"/>
      <c r="FGS12" s="513"/>
      <c r="FGT12" s="513"/>
      <c r="FGU12" s="513"/>
      <c r="FGV12" s="513"/>
      <c r="FGW12" s="513"/>
      <c r="FGX12" s="513"/>
      <c r="FGY12" s="513"/>
      <c r="FGZ12" s="513"/>
      <c r="FHA12" s="513"/>
      <c r="FHB12" s="513"/>
      <c r="FHC12" s="513"/>
      <c r="FHD12" s="513"/>
      <c r="FHE12" s="513"/>
      <c r="FHF12" s="513"/>
      <c r="FHG12" s="513"/>
      <c r="FHH12" s="513"/>
      <c r="FHI12" s="513"/>
      <c r="FHJ12" s="513"/>
      <c r="FHK12" s="513"/>
      <c r="FHL12" s="513"/>
      <c r="FHM12" s="513"/>
      <c r="FHN12" s="513"/>
      <c r="FHO12" s="513"/>
      <c r="FHP12" s="513"/>
      <c r="FHQ12" s="513"/>
      <c r="FHR12" s="513"/>
      <c r="FHS12" s="513"/>
      <c r="FHT12" s="513"/>
      <c r="FHU12" s="513"/>
      <c r="FHV12" s="513"/>
      <c r="FHW12" s="513"/>
      <c r="FHX12" s="513"/>
      <c r="FHY12" s="513"/>
      <c r="FHZ12" s="513"/>
      <c r="FIA12" s="513"/>
      <c r="FIB12" s="513"/>
      <c r="FIC12" s="513"/>
      <c r="FID12" s="513"/>
      <c r="FIE12" s="513"/>
      <c r="FIF12" s="513"/>
      <c r="FIG12" s="513"/>
      <c r="FIH12" s="513"/>
      <c r="FII12" s="513"/>
      <c r="FIJ12" s="513"/>
      <c r="FIK12" s="513"/>
      <c r="FIL12" s="513"/>
      <c r="FIM12" s="513"/>
      <c r="FIN12" s="513"/>
      <c r="FIO12" s="513"/>
      <c r="FIP12" s="513"/>
      <c r="FIQ12" s="513"/>
      <c r="FIR12" s="513"/>
      <c r="FIS12" s="513"/>
      <c r="FIT12" s="513"/>
      <c r="FIU12" s="513"/>
      <c r="FIV12" s="513"/>
      <c r="FIW12" s="513"/>
      <c r="FIX12" s="513"/>
      <c r="FIY12" s="513"/>
      <c r="FIZ12" s="513"/>
      <c r="FJA12" s="513"/>
      <c r="FJB12" s="513"/>
      <c r="FJC12" s="513"/>
      <c r="FJD12" s="513"/>
      <c r="FJE12" s="513"/>
      <c r="FJF12" s="513"/>
      <c r="FJG12" s="513"/>
      <c r="FJH12" s="513"/>
      <c r="FJI12" s="513"/>
      <c r="FJJ12" s="513"/>
      <c r="FJK12" s="513"/>
      <c r="FJL12" s="513"/>
      <c r="FJM12" s="513"/>
      <c r="FJN12" s="513"/>
      <c r="FJO12" s="513"/>
      <c r="FJP12" s="513"/>
      <c r="FJQ12" s="513"/>
      <c r="FJR12" s="513"/>
      <c r="FJS12" s="513"/>
      <c r="FJT12" s="513"/>
      <c r="FJU12" s="513"/>
      <c r="FJV12" s="513"/>
      <c r="FJW12" s="513"/>
      <c r="FJX12" s="513"/>
      <c r="FJY12" s="513"/>
      <c r="FJZ12" s="513"/>
      <c r="FKA12" s="513"/>
      <c r="FKB12" s="513"/>
      <c r="FKC12" s="513"/>
      <c r="FKD12" s="513"/>
      <c r="FKE12" s="513"/>
      <c r="FKF12" s="513"/>
      <c r="FKG12" s="513"/>
      <c r="FKH12" s="513"/>
      <c r="FKI12" s="513"/>
      <c r="FKJ12" s="513"/>
      <c r="FKK12" s="513"/>
      <c r="FKL12" s="513"/>
      <c r="FKM12" s="513"/>
      <c r="FKN12" s="513"/>
      <c r="FKO12" s="513"/>
      <c r="FKP12" s="513"/>
      <c r="FKQ12" s="513"/>
      <c r="FKR12" s="513"/>
      <c r="FKS12" s="513"/>
      <c r="FKT12" s="513"/>
      <c r="FKU12" s="513"/>
      <c r="FKV12" s="513"/>
      <c r="FKW12" s="513"/>
      <c r="FKX12" s="513"/>
      <c r="FKY12" s="513"/>
      <c r="FKZ12" s="513"/>
      <c r="FLA12" s="513"/>
      <c r="FLB12" s="513"/>
      <c r="FLC12" s="513"/>
      <c r="FLD12" s="513"/>
      <c r="FLE12" s="513"/>
      <c r="FLF12" s="513"/>
      <c r="FLG12" s="513"/>
      <c r="FLH12" s="513"/>
      <c r="FLI12" s="513"/>
      <c r="FLJ12" s="513"/>
      <c r="FLK12" s="513"/>
      <c r="FLL12" s="513"/>
      <c r="FLM12" s="513"/>
      <c r="FLN12" s="513"/>
      <c r="FLO12" s="513"/>
      <c r="FLP12" s="513"/>
      <c r="FLQ12" s="513"/>
      <c r="FLR12" s="513"/>
      <c r="FLS12" s="513"/>
      <c r="FLT12" s="513"/>
      <c r="FLU12" s="513"/>
      <c r="FLV12" s="513"/>
      <c r="FLW12" s="513"/>
      <c r="FLX12" s="513"/>
      <c r="FLY12" s="513"/>
      <c r="FLZ12" s="513"/>
      <c r="FMA12" s="513"/>
      <c r="FMB12" s="513"/>
      <c r="FMC12" s="513"/>
      <c r="FMD12" s="513"/>
      <c r="FME12" s="513"/>
      <c r="FMF12" s="513"/>
      <c r="FMG12" s="513"/>
      <c r="FMH12" s="513"/>
      <c r="FMI12" s="513"/>
      <c r="FMJ12" s="513"/>
      <c r="FMK12" s="513"/>
      <c r="FML12" s="513"/>
      <c r="FMM12" s="513"/>
      <c r="FMN12" s="513"/>
      <c r="FMO12" s="513"/>
      <c r="FMP12" s="513"/>
      <c r="FMQ12" s="513"/>
      <c r="FMR12" s="513"/>
      <c r="FMS12" s="513"/>
      <c r="FMT12" s="513"/>
      <c r="FMU12" s="513"/>
      <c r="FMV12" s="513"/>
      <c r="FMW12" s="513"/>
      <c r="FMX12" s="513"/>
      <c r="FMY12" s="513"/>
      <c r="FMZ12" s="513"/>
      <c r="FNA12" s="513"/>
      <c r="FNB12" s="513"/>
      <c r="FNC12" s="513"/>
      <c r="FND12" s="513"/>
      <c r="FNE12" s="513"/>
      <c r="FNF12" s="513"/>
      <c r="FNG12" s="513"/>
      <c r="FNH12" s="513"/>
      <c r="FNI12" s="513"/>
      <c r="FNJ12" s="513"/>
      <c r="FNK12" s="513"/>
      <c r="FNL12" s="513"/>
      <c r="FNM12" s="513"/>
      <c r="FNN12" s="513"/>
      <c r="FNO12" s="513"/>
      <c r="FNP12" s="513"/>
      <c r="FNQ12" s="513"/>
      <c r="FNR12" s="513"/>
      <c r="FNS12" s="513"/>
      <c r="FNT12" s="513"/>
      <c r="FNU12" s="513"/>
      <c r="FNV12" s="513"/>
      <c r="FNW12" s="513"/>
      <c r="FNX12" s="513"/>
      <c r="FNY12" s="513"/>
      <c r="FNZ12" s="513"/>
      <c r="FOA12" s="513"/>
      <c r="FOB12" s="513"/>
      <c r="FOC12" s="513"/>
      <c r="FOD12" s="513"/>
      <c r="FOE12" s="513"/>
      <c r="FOF12" s="513"/>
      <c r="FOG12" s="513"/>
      <c r="FOH12" s="513"/>
      <c r="FOI12" s="513"/>
      <c r="FOJ12" s="513"/>
      <c r="FOK12" s="513"/>
      <c r="FOL12" s="513"/>
      <c r="FOM12" s="513"/>
      <c r="FON12" s="513"/>
      <c r="FOO12" s="513"/>
      <c r="FOP12" s="513"/>
      <c r="FOQ12" s="513"/>
      <c r="FOR12" s="513"/>
      <c r="FOS12" s="513"/>
      <c r="FOT12" s="513"/>
      <c r="FOU12" s="513"/>
      <c r="FOV12" s="513"/>
      <c r="FOW12" s="513"/>
      <c r="FOX12" s="513"/>
      <c r="FOY12" s="513"/>
      <c r="FOZ12" s="513"/>
      <c r="FPA12" s="513"/>
      <c r="FPB12" s="513"/>
      <c r="FPC12" s="513"/>
      <c r="FPD12" s="513"/>
      <c r="FPE12" s="513"/>
      <c r="FPF12" s="513"/>
      <c r="FPG12" s="513"/>
      <c r="FPH12" s="513"/>
      <c r="FPI12" s="513"/>
      <c r="FPJ12" s="513"/>
      <c r="FPK12" s="513"/>
      <c r="FPL12" s="513"/>
      <c r="FPM12" s="513"/>
      <c r="FPN12" s="513"/>
      <c r="FPO12" s="513"/>
      <c r="FPP12" s="513"/>
      <c r="FPQ12" s="513"/>
      <c r="FPR12" s="513"/>
      <c r="FPS12" s="513"/>
      <c r="FPT12" s="513"/>
      <c r="FPU12" s="513"/>
      <c r="FPV12" s="513"/>
      <c r="FPW12" s="513"/>
      <c r="FPX12" s="513"/>
      <c r="FPY12" s="513"/>
      <c r="FPZ12" s="513"/>
      <c r="FQA12" s="513"/>
      <c r="FQB12" s="513"/>
      <c r="FQC12" s="513"/>
      <c r="FQD12" s="513"/>
      <c r="FQE12" s="513"/>
      <c r="FQF12" s="513"/>
      <c r="FQG12" s="513"/>
      <c r="FQH12" s="513"/>
      <c r="FQI12" s="513"/>
      <c r="FQJ12" s="513"/>
      <c r="FQK12" s="513"/>
      <c r="FQL12" s="513"/>
      <c r="FQM12" s="513"/>
      <c r="FQN12" s="513"/>
      <c r="FQO12" s="513"/>
      <c r="FQP12" s="513"/>
      <c r="FQQ12" s="513"/>
      <c r="FQR12" s="513"/>
      <c r="FQS12" s="513"/>
      <c r="FQT12" s="513"/>
      <c r="FQU12" s="513"/>
      <c r="FQV12" s="513"/>
      <c r="FQW12" s="513"/>
      <c r="FQX12" s="513"/>
      <c r="FQY12" s="513"/>
      <c r="FQZ12" s="513"/>
      <c r="FRA12" s="513"/>
      <c r="FRB12" s="513"/>
      <c r="FRC12" s="513"/>
      <c r="FRD12" s="513"/>
      <c r="FRE12" s="513"/>
      <c r="FRF12" s="513"/>
      <c r="FRG12" s="513"/>
      <c r="FRH12" s="513"/>
      <c r="FRI12" s="513"/>
      <c r="FRJ12" s="513"/>
      <c r="FRK12" s="513"/>
      <c r="FRL12" s="513"/>
      <c r="FRM12" s="513"/>
      <c r="FRN12" s="513"/>
      <c r="FRO12" s="513"/>
      <c r="FRP12" s="513"/>
      <c r="FRQ12" s="513"/>
      <c r="FRR12" s="513"/>
      <c r="FRS12" s="513"/>
      <c r="FRT12" s="513"/>
      <c r="FRU12" s="513"/>
      <c r="FRV12" s="513"/>
      <c r="FRW12" s="513"/>
      <c r="FRX12" s="513"/>
      <c r="FRY12" s="513"/>
      <c r="FRZ12" s="513"/>
      <c r="FSA12" s="513"/>
      <c r="FSB12" s="513"/>
      <c r="FSC12" s="513"/>
      <c r="FSD12" s="513"/>
      <c r="FSE12" s="513"/>
      <c r="FSF12" s="513"/>
      <c r="FSG12" s="513"/>
      <c r="FSH12" s="513"/>
      <c r="FSI12" s="513"/>
      <c r="FSJ12" s="513"/>
      <c r="FSK12" s="513"/>
      <c r="FSL12" s="513"/>
      <c r="FSM12" s="513"/>
      <c r="FSN12" s="513"/>
      <c r="FSO12" s="513"/>
      <c r="FSP12" s="513"/>
      <c r="FSQ12" s="513"/>
      <c r="FSR12" s="513"/>
      <c r="FSS12" s="513"/>
      <c r="FST12" s="513"/>
      <c r="FSU12" s="513"/>
      <c r="FSV12" s="513"/>
      <c r="FSW12" s="513"/>
      <c r="FSX12" s="513"/>
      <c r="FSY12" s="513"/>
      <c r="FSZ12" s="513"/>
      <c r="FTA12" s="513"/>
      <c r="FTB12" s="513"/>
      <c r="FTC12" s="513"/>
      <c r="FTD12" s="513"/>
      <c r="FTE12" s="513"/>
      <c r="FTF12" s="513"/>
      <c r="FTG12" s="513"/>
      <c r="FTH12" s="513"/>
      <c r="FTI12" s="513"/>
      <c r="FTJ12" s="513"/>
      <c r="FTK12" s="513"/>
      <c r="FTL12" s="513"/>
      <c r="FTM12" s="513"/>
      <c r="FTN12" s="513"/>
      <c r="FTO12" s="513"/>
      <c r="FTP12" s="513"/>
      <c r="FTQ12" s="513"/>
      <c r="FTR12" s="513"/>
      <c r="FTS12" s="513"/>
      <c r="FTT12" s="513"/>
      <c r="FTU12" s="513"/>
      <c r="FTV12" s="513"/>
      <c r="FTW12" s="513"/>
      <c r="FTX12" s="513"/>
      <c r="FTY12" s="513"/>
      <c r="FTZ12" s="513"/>
      <c r="FUA12" s="513"/>
      <c r="FUB12" s="513"/>
      <c r="FUC12" s="513"/>
      <c r="FUD12" s="513"/>
      <c r="FUE12" s="513"/>
      <c r="FUF12" s="513"/>
      <c r="FUG12" s="513"/>
      <c r="FUH12" s="513"/>
      <c r="FUI12" s="513"/>
      <c r="FUJ12" s="513"/>
      <c r="FUK12" s="513"/>
      <c r="FUL12" s="513"/>
      <c r="FUM12" s="513"/>
      <c r="FUN12" s="513"/>
      <c r="FUO12" s="513"/>
      <c r="FUP12" s="513"/>
      <c r="FUQ12" s="513"/>
      <c r="FUR12" s="513"/>
      <c r="FUS12" s="513"/>
      <c r="FUT12" s="513"/>
      <c r="FUU12" s="513"/>
      <c r="FUV12" s="513"/>
      <c r="FUW12" s="513"/>
      <c r="FUX12" s="513"/>
      <c r="FUY12" s="513"/>
      <c r="FUZ12" s="513"/>
      <c r="FVA12" s="513"/>
      <c r="FVB12" s="513"/>
      <c r="FVC12" s="513"/>
      <c r="FVD12" s="513"/>
      <c r="FVE12" s="513"/>
      <c r="FVF12" s="513"/>
      <c r="FVG12" s="513"/>
      <c r="FVH12" s="513"/>
      <c r="FVI12" s="513"/>
      <c r="FVJ12" s="513"/>
      <c r="FVK12" s="513"/>
      <c r="FVL12" s="513"/>
      <c r="FVM12" s="513"/>
      <c r="FVN12" s="513"/>
      <c r="FVO12" s="513"/>
      <c r="FVP12" s="513"/>
      <c r="FVQ12" s="513"/>
      <c r="FVR12" s="513"/>
      <c r="FVS12" s="513"/>
      <c r="FVT12" s="513"/>
      <c r="FVU12" s="513"/>
      <c r="FVV12" s="513"/>
      <c r="FVW12" s="513"/>
      <c r="FVX12" s="513"/>
      <c r="FVY12" s="513"/>
      <c r="FVZ12" s="513"/>
      <c r="FWA12" s="513"/>
      <c r="FWB12" s="513"/>
      <c r="FWC12" s="513"/>
      <c r="FWD12" s="513"/>
      <c r="FWE12" s="513"/>
      <c r="FWF12" s="513"/>
      <c r="FWG12" s="513"/>
      <c r="FWH12" s="513"/>
      <c r="FWI12" s="513"/>
      <c r="FWJ12" s="513"/>
      <c r="FWK12" s="513"/>
      <c r="FWL12" s="513"/>
      <c r="FWM12" s="513"/>
      <c r="FWN12" s="513"/>
      <c r="FWO12" s="513"/>
      <c r="FWP12" s="513"/>
      <c r="FWQ12" s="513"/>
      <c r="FWR12" s="513"/>
      <c r="FWS12" s="513"/>
      <c r="FWT12" s="513"/>
      <c r="FWU12" s="513"/>
      <c r="FWV12" s="513"/>
      <c r="FWW12" s="513"/>
      <c r="FWX12" s="513"/>
      <c r="FWY12" s="513"/>
      <c r="FWZ12" s="513"/>
      <c r="FXA12" s="513"/>
      <c r="FXB12" s="513"/>
      <c r="FXC12" s="513"/>
      <c r="FXD12" s="513"/>
      <c r="FXE12" s="513"/>
      <c r="FXF12" s="513"/>
      <c r="FXG12" s="513"/>
      <c r="FXH12" s="513"/>
      <c r="FXI12" s="513"/>
      <c r="FXJ12" s="513"/>
      <c r="FXK12" s="513"/>
      <c r="FXL12" s="513"/>
      <c r="FXM12" s="513"/>
      <c r="FXN12" s="513"/>
      <c r="FXO12" s="513"/>
      <c r="FXP12" s="513"/>
      <c r="FXQ12" s="513"/>
      <c r="FXR12" s="513"/>
      <c r="FXS12" s="513"/>
      <c r="FXT12" s="513"/>
      <c r="FXU12" s="513"/>
      <c r="FXV12" s="513"/>
      <c r="FXW12" s="513"/>
      <c r="FXX12" s="513"/>
      <c r="FXY12" s="513"/>
      <c r="FXZ12" s="513"/>
      <c r="FYA12" s="513"/>
      <c r="FYB12" s="513"/>
      <c r="FYC12" s="513"/>
      <c r="FYD12" s="513"/>
      <c r="FYE12" s="513"/>
      <c r="FYF12" s="513"/>
      <c r="FYG12" s="513"/>
      <c r="FYH12" s="513"/>
      <c r="FYI12" s="513"/>
      <c r="FYJ12" s="513"/>
      <c r="FYK12" s="513"/>
      <c r="FYL12" s="513"/>
      <c r="FYM12" s="513"/>
      <c r="FYN12" s="513"/>
      <c r="FYO12" s="513"/>
      <c r="FYP12" s="513"/>
      <c r="FYQ12" s="513"/>
      <c r="FYR12" s="513"/>
      <c r="FYS12" s="513"/>
      <c r="FYT12" s="513"/>
      <c r="FYU12" s="513"/>
      <c r="FYV12" s="513"/>
      <c r="FYW12" s="513"/>
      <c r="FYX12" s="513"/>
      <c r="FYY12" s="513"/>
      <c r="FYZ12" s="513"/>
      <c r="FZA12" s="513"/>
      <c r="FZB12" s="513"/>
      <c r="FZC12" s="513"/>
      <c r="FZD12" s="513"/>
      <c r="FZE12" s="513"/>
      <c r="FZF12" s="513"/>
      <c r="FZG12" s="513"/>
      <c r="FZH12" s="513"/>
      <c r="FZI12" s="513"/>
      <c r="FZJ12" s="513"/>
      <c r="FZK12" s="513"/>
      <c r="FZL12" s="513"/>
      <c r="FZM12" s="513"/>
      <c r="FZN12" s="513"/>
      <c r="FZO12" s="513"/>
      <c r="FZP12" s="513"/>
      <c r="FZQ12" s="513"/>
      <c r="FZR12" s="513"/>
      <c r="FZS12" s="513"/>
      <c r="FZT12" s="513"/>
      <c r="FZU12" s="513"/>
      <c r="FZV12" s="513"/>
      <c r="FZW12" s="513"/>
      <c r="FZX12" s="513"/>
      <c r="FZY12" s="513"/>
      <c r="FZZ12" s="513"/>
      <c r="GAA12" s="513"/>
      <c r="GAB12" s="513"/>
      <c r="GAC12" s="513"/>
      <c r="GAD12" s="513"/>
      <c r="GAE12" s="513"/>
      <c r="GAF12" s="513"/>
      <c r="GAG12" s="513"/>
      <c r="GAH12" s="513"/>
      <c r="GAI12" s="513"/>
      <c r="GAJ12" s="513"/>
      <c r="GAK12" s="513"/>
      <c r="GAL12" s="513"/>
      <c r="GAM12" s="513"/>
      <c r="GAN12" s="513"/>
      <c r="GAO12" s="513"/>
      <c r="GAP12" s="513"/>
      <c r="GAQ12" s="513"/>
      <c r="GAR12" s="513"/>
      <c r="GAS12" s="513"/>
      <c r="GAT12" s="513"/>
      <c r="GAU12" s="513"/>
      <c r="GAV12" s="513"/>
      <c r="GAW12" s="513"/>
      <c r="GAX12" s="513"/>
      <c r="GAY12" s="513"/>
      <c r="GAZ12" s="513"/>
      <c r="GBA12" s="513"/>
      <c r="GBB12" s="513"/>
      <c r="GBC12" s="513"/>
      <c r="GBD12" s="513"/>
      <c r="GBE12" s="513"/>
      <c r="GBF12" s="513"/>
      <c r="GBG12" s="513"/>
      <c r="GBH12" s="513"/>
      <c r="GBI12" s="513"/>
      <c r="GBJ12" s="513"/>
      <c r="GBK12" s="513"/>
      <c r="GBL12" s="513"/>
      <c r="GBM12" s="513"/>
      <c r="GBN12" s="513"/>
      <c r="GBO12" s="513"/>
      <c r="GBP12" s="513"/>
      <c r="GBQ12" s="513"/>
      <c r="GBR12" s="513"/>
      <c r="GBS12" s="513"/>
      <c r="GBT12" s="513"/>
      <c r="GBU12" s="513"/>
      <c r="GBV12" s="513"/>
      <c r="GBW12" s="513"/>
      <c r="GBX12" s="513"/>
      <c r="GBY12" s="513"/>
      <c r="GBZ12" s="513"/>
      <c r="GCA12" s="513"/>
      <c r="GCB12" s="513"/>
      <c r="GCC12" s="513"/>
      <c r="GCD12" s="513"/>
      <c r="GCE12" s="513"/>
      <c r="GCF12" s="513"/>
      <c r="GCG12" s="513"/>
      <c r="GCH12" s="513"/>
      <c r="GCI12" s="513"/>
      <c r="GCJ12" s="513"/>
      <c r="GCK12" s="513"/>
      <c r="GCL12" s="513"/>
      <c r="GCM12" s="513"/>
      <c r="GCN12" s="513"/>
      <c r="GCO12" s="513"/>
      <c r="GCP12" s="513"/>
      <c r="GCQ12" s="513"/>
      <c r="GCR12" s="513"/>
      <c r="GCS12" s="513"/>
      <c r="GCT12" s="513"/>
      <c r="GCU12" s="513"/>
      <c r="GCV12" s="513"/>
      <c r="GCW12" s="513"/>
      <c r="GCX12" s="513"/>
      <c r="GCY12" s="513"/>
      <c r="GCZ12" s="513"/>
      <c r="GDA12" s="513"/>
      <c r="GDB12" s="513"/>
      <c r="GDC12" s="513"/>
      <c r="GDD12" s="513"/>
      <c r="GDE12" s="513"/>
      <c r="GDF12" s="513"/>
      <c r="GDG12" s="513"/>
      <c r="GDH12" s="513"/>
      <c r="GDI12" s="513"/>
      <c r="GDJ12" s="513"/>
      <c r="GDK12" s="513"/>
      <c r="GDL12" s="513"/>
      <c r="GDM12" s="513"/>
      <c r="GDN12" s="513"/>
      <c r="GDO12" s="513"/>
      <c r="GDP12" s="513"/>
      <c r="GDQ12" s="513"/>
      <c r="GDR12" s="513"/>
      <c r="GDS12" s="513"/>
      <c r="GDT12" s="513"/>
      <c r="GDU12" s="513"/>
      <c r="GDV12" s="513"/>
      <c r="GDW12" s="513"/>
      <c r="GDX12" s="513"/>
      <c r="GDY12" s="513"/>
      <c r="GDZ12" s="513"/>
      <c r="GEA12" s="513"/>
      <c r="GEB12" s="513"/>
      <c r="GEC12" s="513"/>
      <c r="GED12" s="513"/>
      <c r="GEE12" s="513"/>
      <c r="GEF12" s="513"/>
      <c r="GEG12" s="513"/>
      <c r="GEH12" s="513"/>
      <c r="GEI12" s="513"/>
      <c r="GEJ12" s="513"/>
      <c r="GEK12" s="513"/>
      <c r="GEL12" s="513"/>
      <c r="GEM12" s="513"/>
      <c r="GEN12" s="513"/>
      <c r="GEO12" s="513"/>
      <c r="GEP12" s="513"/>
      <c r="GEQ12" s="513"/>
      <c r="GER12" s="513"/>
      <c r="GES12" s="513"/>
      <c r="GET12" s="513"/>
      <c r="GEU12" s="513"/>
      <c r="GEV12" s="513"/>
      <c r="GEW12" s="513"/>
      <c r="GEX12" s="513"/>
      <c r="GEY12" s="513"/>
      <c r="GEZ12" s="513"/>
      <c r="GFA12" s="513"/>
      <c r="GFB12" s="513"/>
      <c r="GFC12" s="513"/>
      <c r="GFD12" s="513"/>
      <c r="GFE12" s="513"/>
      <c r="GFF12" s="513"/>
      <c r="GFG12" s="513"/>
      <c r="GFH12" s="513"/>
      <c r="GFI12" s="513"/>
      <c r="GFJ12" s="513"/>
      <c r="GFK12" s="513"/>
      <c r="GFL12" s="513"/>
      <c r="GFM12" s="513"/>
      <c r="GFN12" s="513"/>
      <c r="GFO12" s="513"/>
      <c r="GFP12" s="513"/>
      <c r="GFQ12" s="513"/>
      <c r="GFR12" s="513"/>
      <c r="GFS12" s="513"/>
      <c r="GFT12" s="513"/>
      <c r="GFU12" s="513"/>
      <c r="GFV12" s="513"/>
      <c r="GFW12" s="513"/>
      <c r="GFX12" s="513"/>
      <c r="GFY12" s="513"/>
      <c r="GFZ12" s="513"/>
      <c r="GGA12" s="513"/>
      <c r="GGB12" s="513"/>
      <c r="GGC12" s="513"/>
      <c r="GGD12" s="513"/>
      <c r="GGE12" s="513"/>
      <c r="GGF12" s="513"/>
      <c r="GGG12" s="513"/>
      <c r="GGH12" s="513"/>
      <c r="GGI12" s="513"/>
      <c r="GGJ12" s="513"/>
      <c r="GGK12" s="513"/>
      <c r="GGL12" s="513"/>
      <c r="GGM12" s="513"/>
      <c r="GGN12" s="513"/>
      <c r="GGO12" s="513"/>
      <c r="GGP12" s="513"/>
      <c r="GGQ12" s="513"/>
      <c r="GGR12" s="513"/>
      <c r="GGS12" s="513"/>
      <c r="GGT12" s="513"/>
      <c r="GGU12" s="513"/>
      <c r="GGV12" s="513"/>
      <c r="GGW12" s="513"/>
      <c r="GGX12" s="513"/>
      <c r="GGY12" s="513"/>
      <c r="GGZ12" s="513"/>
      <c r="GHA12" s="513"/>
      <c r="GHB12" s="513"/>
      <c r="GHC12" s="513"/>
      <c r="GHD12" s="513"/>
      <c r="GHE12" s="513"/>
      <c r="GHF12" s="513"/>
      <c r="GHG12" s="513"/>
      <c r="GHH12" s="513"/>
      <c r="GHI12" s="513"/>
      <c r="GHJ12" s="513"/>
      <c r="GHK12" s="513"/>
      <c r="GHL12" s="513"/>
      <c r="GHM12" s="513"/>
      <c r="GHN12" s="513"/>
      <c r="GHO12" s="513"/>
      <c r="GHP12" s="513"/>
      <c r="GHQ12" s="513"/>
      <c r="GHR12" s="513"/>
      <c r="GHS12" s="513"/>
      <c r="GHT12" s="513"/>
      <c r="GHU12" s="513"/>
      <c r="GHV12" s="513"/>
      <c r="GHW12" s="513"/>
      <c r="GHX12" s="513"/>
      <c r="GHY12" s="513"/>
      <c r="GHZ12" s="513"/>
      <c r="GIA12" s="513"/>
      <c r="GIB12" s="513"/>
      <c r="GIC12" s="513"/>
      <c r="GID12" s="513"/>
      <c r="GIE12" s="513"/>
      <c r="GIF12" s="513"/>
      <c r="GIG12" s="513"/>
      <c r="GIH12" s="513"/>
      <c r="GII12" s="513"/>
      <c r="GIJ12" s="513"/>
      <c r="GIK12" s="513"/>
      <c r="GIL12" s="513"/>
      <c r="GIM12" s="513"/>
      <c r="GIN12" s="513"/>
      <c r="GIO12" s="513"/>
      <c r="GIP12" s="513"/>
      <c r="GIQ12" s="513"/>
      <c r="GIR12" s="513"/>
      <c r="GIS12" s="513"/>
      <c r="GIT12" s="513"/>
      <c r="GIU12" s="513"/>
      <c r="GIV12" s="513"/>
      <c r="GIW12" s="513"/>
      <c r="GIX12" s="513"/>
      <c r="GIY12" s="513"/>
      <c r="GIZ12" s="513"/>
      <c r="GJA12" s="513"/>
      <c r="GJB12" s="513"/>
      <c r="GJC12" s="513"/>
      <c r="GJD12" s="513"/>
      <c r="GJE12" s="513"/>
      <c r="GJF12" s="513"/>
      <c r="GJG12" s="513"/>
      <c r="GJH12" s="513"/>
      <c r="GJI12" s="513"/>
      <c r="GJJ12" s="513"/>
      <c r="GJK12" s="513"/>
      <c r="GJL12" s="513"/>
      <c r="GJM12" s="513"/>
      <c r="GJN12" s="513"/>
      <c r="GJO12" s="513"/>
      <c r="GJP12" s="513"/>
      <c r="GJQ12" s="513"/>
      <c r="GJR12" s="513"/>
      <c r="GJS12" s="513"/>
      <c r="GJT12" s="513"/>
      <c r="GJU12" s="513"/>
      <c r="GJV12" s="513"/>
      <c r="GJW12" s="513"/>
      <c r="GJX12" s="513"/>
      <c r="GJY12" s="513"/>
      <c r="GJZ12" s="513"/>
      <c r="GKA12" s="513"/>
      <c r="GKB12" s="513"/>
      <c r="GKC12" s="513"/>
      <c r="GKD12" s="513"/>
      <c r="GKE12" s="513"/>
      <c r="GKF12" s="513"/>
      <c r="GKG12" s="513"/>
      <c r="GKH12" s="513"/>
      <c r="GKI12" s="513"/>
      <c r="GKJ12" s="513"/>
      <c r="GKK12" s="513"/>
      <c r="GKL12" s="513"/>
      <c r="GKM12" s="513"/>
      <c r="GKN12" s="513"/>
      <c r="GKO12" s="513"/>
      <c r="GKP12" s="513"/>
      <c r="GKQ12" s="513"/>
      <c r="GKR12" s="513"/>
      <c r="GKS12" s="513"/>
      <c r="GKT12" s="513"/>
      <c r="GKU12" s="513"/>
      <c r="GKV12" s="513"/>
      <c r="GKW12" s="513"/>
      <c r="GKX12" s="513"/>
      <c r="GKY12" s="513"/>
      <c r="GKZ12" s="513"/>
      <c r="GLA12" s="513"/>
      <c r="GLB12" s="513"/>
      <c r="GLC12" s="513"/>
      <c r="GLD12" s="513"/>
      <c r="GLE12" s="513"/>
      <c r="GLF12" s="513"/>
      <c r="GLG12" s="513"/>
      <c r="GLH12" s="513"/>
      <c r="GLI12" s="513"/>
      <c r="GLJ12" s="513"/>
      <c r="GLK12" s="513"/>
      <c r="GLL12" s="513"/>
      <c r="GLM12" s="513"/>
      <c r="GLN12" s="513"/>
      <c r="GLO12" s="513"/>
      <c r="GLP12" s="513"/>
      <c r="GLQ12" s="513"/>
      <c r="GLR12" s="513"/>
      <c r="GLS12" s="513"/>
      <c r="GLT12" s="513"/>
      <c r="GLU12" s="513"/>
      <c r="GLV12" s="513"/>
      <c r="GLW12" s="513"/>
      <c r="GLX12" s="513"/>
      <c r="GLY12" s="513"/>
      <c r="GLZ12" s="513"/>
      <c r="GMA12" s="513"/>
      <c r="GMB12" s="513"/>
      <c r="GMC12" s="513"/>
      <c r="GMD12" s="513"/>
      <c r="GME12" s="513"/>
      <c r="GMF12" s="513"/>
      <c r="GMG12" s="513"/>
      <c r="GMH12" s="513"/>
      <c r="GMI12" s="513"/>
      <c r="GMJ12" s="513"/>
      <c r="GMK12" s="513"/>
      <c r="GML12" s="513"/>
      <c r="GMM12" s="513"/>
      <c r="GMN12" s="513"/>
      <c r="GMO12" s="513"/>
      <c r="GMP12" s="513"/>
      <c r="GMQ12" s="513"/>
      <c r="GMR12" s="513"/>
      <c r="GMS12" s="513"/>
      <c r="GMT12" s="513"/>
      <c r="GMU12" s="513"/>
      <c r="GMV12" s="513"/>
      <c r="GMW12" s="513"/>
      <c r="GMX12" s="513"/>
      <c r="GMY12" s="513"/>
      <c r="GMZ12" s="513"/>
      <c r="GNA12" s="513"/>
      <c r="GNB12" s="513"/>
      <c r="GNC12" s="513"/>
      <c r="GND12" s="513"/>
      <c r="GNE12" s="513"/>
      <c r="GNF12" s="513"/>
      <c r="GNG12" s="513"/>
      <c r="GNH12" s="513"/>
      <c r="GNI12" s="513"/>
      <c r="GNJ12" s="513"/>
      <c r="GNK12" s="513"/>
      <c r="GNL12" s="513"/>
      <c r="GNM12" s="513"/>
      <c r="GNN12" s="513"/>
      <c r="GNO12" s="513"/>
      <c r="GNP12" s="513"/>
      <c r="GNQ12" s="513"/>
      <c r="GNR12" s="513"/>
      <c r="GNS12" s="513"/>
      <c r="GNT12" s="513"/>
      <c r="GNU12" s="513"/>
      <c r="GNV12" s="513"/>
      <c r="GNW12" s="513"/>
      <c r="GNX12" s="513"/>
      <c r="GNY12" s="513"/>
      <c r="GNZ12" s="513"/>
      <c r="GOA12" s="513"/>
      <c r="GOB12" s="513"/>
      <c r="GOC12" s="513"/>
      <c r="GOD12" s="513"/>
      <c r="GOE12" s="513"/>
      <c r="GOF12" s="513"/>
      <c r="GOG12" s="513"/>
      <c r="GOH12" s="513"/>
      <c r="GOI12" s="513"/>
      <c r="GOJ12" s="513"/>
      <c r="GOK12" s="513"/>
      <c r="GOL12" s="513"/>
      <c r="GOM12" s="513"/>
      <c r="GON12" s="513"/>
      <c r="GOO12" s="513"/>
      <c r="GOP12" s="513"/>
      <c r="GOQ12" s="513"/>
      <c r="GOR12" s="513"/>
      <c r="GOS12" s="513"/>
      <c r="GOT12" s="513"/>
      <c r="GOU12" s="513"/>
      <c r="GOV12" s="513"/>
      <c r="GOW12" s="513"/>
      <c r="GOX12" s="513"/>
      <c r="GOY12" s="513"/>
      <c r="GOZ12" s="513"/>
      <c r="GPA12" s="513"/>
      <c r="GPB12" s="513"/>
      <c r="GPC12" s="513"/>
      <c r="GPD12" s="513"/>
      <c r="GPE12" s="513"/>
      <c r="GPF12" s="513"/>
      <c r="GPG12" s="513"/>
      <c r="GPH12" s="513"/>
      <c r="GPI12" s="513"/>
      <c r="GPJ12" s="513"/>
      <c r="GPK12" s="513"/>
      <c r="GPL12" s="513"/>
      <c r="GPM12" s="513"/>
      <c r="GPN12" s="513"/>
      <c r="GPO12" s="513"/>
      <c r="GPP12" s="513"/>
      <c r="GPQ12" s="513"/>
      <c r="GPR12" s="513"/>
      <c r="GPS12" s="513"/>
      <c r="GPT12" s="513"/>
      <c r="GPU12" s="513"/>
      <c r="GPV12" s="513"/>
      <c r="GPW12" s="513"/>
      <c r="GPX12" s="513"/>
      <c r="GPY12" s="513"/>
      <c r="GPZ12" s="513"/>
      <c r="GQA12" s="513"/>
      <c r="GQB12" s="513"/>
      <c r="GQC12" s="513"/>
      <c r="GQD12" s="513"/>
      <c r="GQE12" s="513"/>
      <c r="GQF12" s="513"/>
      <c r="GQG12" s="513"/>
      <c r="GQH12" s="513"/>
      <c r="GQI12" s="513"/>
      <c r="GQJ12" s="513"/>
      <c r="GQK12" s="513"/>
      <c r="GQL12" s="513"/>
      <c r="GQM12" s="513"/>
      <c r="GQN12" s="513"/>
      <c r="GQO12" s="513"/>
      <c r="GQP12" s="513"/>
      <c r="GQQ12" s="513"/>
      <c r="GQR12" s="513"/>
      <c r="GQS12" s="513"/>
      <c r="GQT12" s="513"/>
      <c r="GQU12" s="513"/>
      <c r="GQV12" s="513"/>
      <c r="GQW12" s="513"/>
      <c r="GQX12" s="513"/>
      <c r="GQY12" s="513"/>
      <c r="GQZ12" s="513"/>
      <c r="GRA12" s="513"/>
      <c r="GRB12" s="513"/>
      <c r="GRC12" s="513"/>
      <c r="GRD12" s="513"/>
      <c r="GRE12" s="513"/>
      <c r="GRF12" s="513"/>
      <c r="GRG12" s="513"/>
      <c r="GRH12" s="513"/>
      <c r="GRI12" s="513"/>
      <c r="GRJ12" s="513"/>
      <c r="GRK12" s="513"/>
      <c r="GRL12" s="513"/>
      <c r="GRM12" s="513"/>
      <c r="GRN12" s="513"/>
      <c r="GRO12" s="513"/>
      <c r="GRP12" s="513"/>
      <c r="GRQ12" s="513"/>
      <c r="GRR12" s="513"/>
      <c r="GRS12" s="513"/>
      <c r="GRT12" s="513"/>
      <c r="GRU12" s="513"/>
      <c r="GRV12" s="513"/>
      <c r="GRW12" s="513"/>
      <c r="GRX12" s="513"/>
      <c r="GRY12" s="513"/>
      <c r="GRZ12" s="513"/>
      <c r="GSA12" s="513"/>
      <c r="GSB12" s="513"/>
      <c r="GSC12" s="513"/>
      <c r="GSD12" s="513"/>
      <c r="GSE12" s="513"/>
      <c r="GSF12" s="513"/>
      <c r="GSG12" s="513"/>
      <c r="GSH12" s="513"/>
      <c r="GSI12" s="513"/>
      <c r="GSJ12" s="513"/>
      <c r="GSK12" s="513"/>
      <c r="GSL12" s="513"/>
      <c r="GSM12" s="513"/>
      <c r="GSN12" s="513"/>
      <c r="GSO12" s="513"/>
      <c r="GSP12" s="513"/>
      <c r="GSQ12" s="513"/>
      <c r="GSR12" s="513"/>
      <c r="GSS12" s="513"/>
      <c r="GST12" s="513"/>
      <c r="GSU12" s="513"/>
      <c r="GSV12" s="513"/>
      <c r="GSW12" s="513"/>
      <c r="GSX12" s="513"/>
      <c r="GSY12" s="513"/>
      <c r="GSZ12" s="513"/>
      <c r="GTA12" s="513"/>
      <c r="GTB12" s="513"/>
      <c r="GTC12" s="513"/>
      <c r="GTD12" s="513"/>
      <c r="GTE12" s="513"/>
      <c r="GTF12" s="513"/>
      <c r="GTG12" s="513"/>
      <c r="GTH12" s="513"/>
      <c r="GTI12" s="513"/>
      <c r="GTJ12" s="513"/>
      <c r="GTK12" s="513"/>
      <c r="GTL12" s="513"/>
      <c r="GTM12" s="513"/>
      <c r="GTN12" s="513"/>
      <c r="GTO12" s="513"/>
      <c r="GTP12" s="513"/>
      <c r="GTQ12" s="513"/>
      <c r="GTR12" s="513"/>
      <c r="GTS12" s="513"/>
      <c r="GTT12" s="513"/>
      <c r="GTU12" s="513"/>
      <c r="GTV12" s="513"/>
      <c r="GTW12" s="513"/>
      <c r="GTX12" s="513"/>
      <c r="GTY12" s="513"/>
      <c r="GTZ12" s="513"/>
      <c r="GUA12" s="513"/>
      <c r="GUB12" s="513"/>
      <c r="GUC12" s="513"/>
      <c r="GUD12" s="513"/>
      <c r="GUE12" s="513"/>
      <c r="GUF12" s="513"/>
      <c r="GUG12" s="513"/>
      <c r="GUH12" s="513"/>
      <c r="GUI12" s="513"/>
      <c r="GUJ12" s="513"/>
      <c r="GUK12" s="513"/>
      <c r="GUL12" s="513"/>
      <c r="GUM12" s="513"/>
      <c r="GUN12" s="513"/>
      <c r="GUO12" s="513"/>
      <c r="GUP12" s="513"/>
      <c r="GUQ12" s="513"/>
      <c r="GUR12" s="513"/>
      <c r="GUS12" s="513"/>
      <c r="GUT12" s="513"/>
      <c r="GUU12" s="513"/>
      <c r="GUV12" s="513"/>
      <c r="GUW12" s="513"/>
      <c r="GUX12" s="513"/>
      <c r="GUY12" s="513"/>
      <c r="GUZ12" s="513"/>
      <c r="GVA12" s="513"/>
      <c r="GVB12" s="513"/>
      <c r="GVC12" s="513"/>
      <c r="GVD12" s="513"/>
      <c r="GVE12" s="513"/>
      <c r="GVF12" s="513"/>
      <c r="GVG12" s="513"/>
      <c r="GVH12" s="513"/>
      <c r="GVI12" s="513"/>
      <c r="GVJ12" s="513"/>
      <c r="GVK12" s="513"/>
      <c r="GVL12" s="513"/>
      <c r="GVM12" s="513"/>
      <c r="GVN12" s="513"/>
      <c r="GVO12" s="513"/>
      <c r="GVP12" s="513"/>
      <c r="GVQ12" s="513"/>
      <c r="GVR12" s="513"/>
      <c r="GVS12" s="513"/>
      <c r="GVT12" s="513"/>
      <c r="GVU12" s="513"/>
      <c r="GVV12" s="513"/>
      <c r="GVW12" s="513"/>
      <c r="GVX12" s="513"/>
      <c r="GVY12" s="513"/>
      <c r="GVZ12" s="513"/>
      <c r="GWA12" s="513"/>
      <c r="GWB12" s="513"/>
      <c r="GWC12" s="513"/>
      <c r="GWD12" s="513"/>
      <c r="GWE12" s="513"/>
      <c r="GWF12" s="513"/>
      <c r="GWG12" s="513"/>
      <c r="GWH12" s="513"/>
      <c r="GWI12" s="513"/>
      <c r="GWJ12" s="513"/>
      <c r="GWK12" s="513"/>
      <c r="GWL12" s="513"/>
      <c r="GWM12" s="513"/>
      <c r="GWN12" s="513"/>
      <c r="GWO12" s="513"/>
      <c r="GWP12" s="513"/>
      <c r="GWQ12" s="513"/>
      <c r="GWR12" s="513"/>
      <c r="GWS12" s="513"/>
      <c r="GWT12" s="513"/>
      <c r="GWU12" s="513"/>
      <c r="GWV12" s="513"/>
      <c r="GWW12" s="513"/>
      <c r="GWX12" s="513"/>
      <c r="GWY12" s="513"/>
      <c r="GWZ12" s="513"/>
      <c r="GXA12" s="513"/>
      <c r="GXB12" s="513"/>
      <c r="GXC12" s="513"/>
      <c r="GXD12" s="513"/>
      <c r="GXE12" s="513"/>
      <c r="GXF12" s="513"/>
      <c r="GXG12" s="513"/>
      <c r="GXH12" s="513"/>
      <c r="GXI12" s="513"/>
      <c r="GXJ12" s="513"/>
      <c r="GXK12" s="513"/>
      <c r="GXL12" s="513"/>
      <c r="GXM12" s="513"/>
      <c r="GXN12" s="513"/>
      <c r="GXO12" s="513"/>
      <c r="GXP12" s="513"/>
      <c r="GXQ12" s="513"/>
      <c r="GXR12" s="513"/>
      <c r="GXS12" s="513"/>
      <c r="GXT12" s="513"/>
      <c r="GXU12" s="513"/>
      <c r="GXV12" s="513"/>
      <c r="GXW12" s="513"/>
      <c r="GXX12" s="513"/>
      <c r="GXY12" s="513"/>
      <c r="GXZ12" s="513"/>
      <c r="GYA12" s="513"/>
      <c r="GYB12" s="513"/>
      <c r="GYC12" s="513"/>
      <c r="GYD12" s="513"/>
      <c r="GYE12" s="513"/>
      <c r="GYF12" s="513"/>
      <c r="GYG12" s="513"/>
      <c r="GYH12" s="513"/>
      <c r="GYI12" s="513"/>
      <c r="GYJ12" s="513"/>
      <c r="GYK12" s="513"/>
      <c r="GYL12" s="513"/>
      <c r="GYM12" s="513"/>
      <c r="GYN12" s="513"/>
      <c r="GYO12" s="513"/>
      <c r="GYP12" s="513"/>
      <c r="GYQ12" s="513"/>
      <c r="GYR12" s="513"/>
      <c r="GYS12" s="513"/>
      <c r="GYT12" s="513"/>
      <c r="GYU12" s="513"/>
      <c r="GYV12" s="513"/>
      <c r="GYW12" s="513"/>
      <c r="GYX12" s="513"/>
      <c r="GYY12" s="513"/>
      <c r="GYZ12" s="513"/>
      <c r="GZA12" s="513"/>
      <c r="GZB12" s="513"/>
      <c r="GZC12" s="513"/>
      <c r="GZD12" s="513"/>
      <c r="GZE12" s="513"/>
      <c r="GZF12" s="513"/>
      <c r="GZG12" s="513"/>
      <c r="GZH12" s="513"/>
      <c r="GZI12" s="513"/>
      <c r="GZJ12" s="513"/>
      <c r="GZK12" s="513"/>
      <c r="GZL12" s="513"/>
      <c r="GZM12" s="513"/>
      <c r="GZN12" s="513"/>
      <c r="GZO12" s="513"/>
      <c r="GZP12" s="513"/>
      <c r="GZQ12" s="513"/>
      <c r="GZR12" s="513"/>
      <c r="GZS12" s="513"/>
      <c r="GZT12" s="513"/>
      <c r="GZU12" s="513"/>
      <c r="GZV12" s="513"/>
      <c r="GZW12" s="513"/>
      <c r="GZX12" s="513"/>
      <c r="GZY12" s="513"/>
      <c r="GZZ12" s="513"/>
      <c r="HAA12" s="513"/>
      <c r="HAB12" s="513"/>
      <c r="HAC12" s="513"/>
      <c r="HAD12" s="513"/>
      <c r="HAE12" s="513"/>
      <c r="HAF12" s="513"/>
      <c r="HAG12" s="513"/>
      <c r="HAH12" s="513"/>
      <c r="HAI12" s="513"/>
      <c r="HAJ12" s="513"/>
      <c r="HAK12" s="513"/>
      <c r="HAL12" s="513"/>
      <c r="HAM12" s="513"/>
      <c r="HAN12" s="513"/>
      <c r="HAO12" s="513"/>
      <c r="HAP12" s="513"/>
      <c r="HAQ12" s="513"/>
      <c r="HAR12" s="513"/>
      <c r="HAS12" s="513"/>
      <c r="HAT12" s="513"/>
      <c r="HAU12" s="513"/>
      <c r="HAV12" s="513"/>
      <c r="HAW12" s="513"/>
      <c r="HAX12" s="513"/>
      <c r="HAY12" s="513"/>
      <c r="HAZ12" s="513"/>
      <c r="HBA12" s="513"/>
      <c r="HBB12" s="513"/>
      <c r="HBC12" s="513"/>
      <c r="HBD12" s="513"/>
      <c r="HBE12" s="513"/>
      <c r="HBF12" s="513"/>
      <c r="HBG12" s="513"/>
      <c r="HBH12" s="513"/>
      <c r="HBI12" s="513"/>
      <c r="HBJ12" s="513"/>
      <c r="HBK12" s="513"/>
      <c r="HBL12" s="513"/>
      <c r="HBM12" s="513"/>
      <c r="HBN12" s="513"/>
      <c r="HBO12" s="513"/>
      <c r="HBP12" s="513"/>
      <c r="HBQ12" s="513"/>
      <c r="HBR12" s="513"/>
      <c r="HBS12" s="513"/>
      <c r="HBT12" s="513"/>
      <c r="HBU12" s="513"/>
      <c r="HBV12" s="513"/>
      <c r="HBW12" s="513"/>
      <c r="HBX12" s="513"/>
      <c r="HBY12" s="513"/>
      <c r="HBZ12" s="513"/>
      <c r="HCA12" s="513"/>
      <c r="HCB12" s="513"/>
      <c r="HCC12" s="513"/>
      <c r="HCD12" s="513"/>
      <c r="HCE12" s="513"/>
      <c r="HCF12" s="513"/>
      <c r="HCG12" s="513"/>
      <c r="HCH12" s="513"/>
      <c r="HCI12" s="513"/>
      <c r="HCJ12" s="513"/>
      <c r="HCK12" s="513"/>
      <c r="HCL12" s="513"/>
      <c r="HCM12" s="513"/>
      <c r="HCN12" s="513"/>
      <c r="HCO12" s="513"/>
      <c r="HCP12" s="513"/>
      <c r="HCQ12" s="513"/>
      <c r="HCR12" s="513"/>
      <c r="HCS12" s="513"/>
      <c r="HCT12" s="513"/>
      <c r="HCU12" s="513"/>
      <c r="HCV12" s="513"/>
      <c r="HCW12" s="513"/>
      <c r="HCX12" s="513"/>
      <c r="HCY12" s="513"/>
      <c r="HCZ12" s="513"/>
      <c r="HDA12" s="513"/>
      <c r="HDB12" s="513"/>
      <c r="HDC12" s="513"/>
      <c r="HDD12" s="513"/>
      <c r="HDE12" s="513"/>
      <c r="HDF12" s="513"/>
      <c r="HDG12" s="513"/>
      <c r="HDH12" s="513"/>
      <c r="HDI12" s="513"/>
      <c r="HDJ12" s="513"/>
      <c r="HDK12" s="513"/>
      <c r="HDL12" s="513"/>
      <c r="HDM12" s="513"/>
      <c r="HDN12" s="513"/>
      <c r="HDO12" s="513"/>
      <c r="HDP12" s="513"/>
      <c r="HDQ12" s="513"/>
      <c r="HDR12" s="513"/>
      <c r="HDS12" s="513"/>
      <c r="HDT12" s="513"/>
      <c r="HDU12" s="513"/>
      <c r="HDV12" s="513"/>
      <c r="HDW12" s="513"/>
      <c r="HDX12" s="513"/>
      <c r="HDY12" s="513"/>
      <c r="HDZ12" s="513"/>
      <c r="HEA12" s="513"/>
      <c r="HEB12" s="513"/>
      <c r="HEC12" s="513"/>
      <c r="HED12" s="513"/>
      <c r="HEE12" s="513"/>
      <c r="HEF12" s="513"/>
      <c r="HEG12" s="513"/>
      <c r="HEH12" s="513"/>
      <c r="HEI12" s="513"/>
      <c r="HEJ12" s="513"/>
      <c r="HEK12" s="513"/>
      <c r="HEL12" s="513"/>
      <c r="HEM12" s="513"/>
      <c r="HEN12" s="513"/>
      <c r="HEO12" s="513"/>
      <c r="HEP12" s="513"/>
      <c r="HEQ12" s="513"/>
      <c r="HER12" s="513"/>
      <c r="HES12" s="513"/>
      <c r="HET12" s="513"/>
      <c r="HEU12" s="513"/>
      <c r="HEV12" s="513"/>
      <c r="HEW12" s="513"/>
      <c r="HEX12" s="513"/>
      <c r="HEY12" s="513"/>
      <c r="HEZ12" s="513"/>
      <c r="HFA12" s="513"/>
      <c r="HFB12" s="513"/>
      <c r="HFC12" s="513"/>
      <c r="HFD12" s="513"/>
      <c r="HFE12" s="513"/>
      <c r="HFF12" s="513"/>
      <c r="HFG12" s="513"/>
      <c r="HFH12" s="513"/>
      <c r="HFI12" s="513"/>
      <c r="HFJ12" s="513"/>
      <c r="HFK12" s="513"/>
      <c r="HFL12" s="513"/>
      <c r="HFM12" s="513"/>
      <c r="HFN12" s="513"/>
      <c r="HFO12" s="513"/>
      <c r="HFP12" s="513"/>
      <c r="HFQ12" s="513"/>
      <c r="HFR12" s="513"/>
      <c r="HFS12" s="513"/>
      <c r="HFT12" s="513"/>
      <c r="HFU12" s="513"/>
      <c r="HFV12" s="513"/>
      <c r="HFW12" s="513"/>
      <c r="HFX12" s="513"/>
      <c r="HFY12" s="513"/>
      <c r="HFZ12" s="513"/>
      <c r="HGA12" s="513"/>
      <c r="HGB12" s="513"/>
      <c r="HGC12" s="513"/>
      <c r="HGD12" s="513"/>
      <c r="HGE12" s="513"/>
      <c r="HGF12" s="513"/>
      <c r="HGG12" s="513"/>
      <c r="HGH12" s="513"/>
      <c r="HGI12" s="513"/>
      <c r="HGJ12" s="513"/>
      <c r="HGK12" s="513"/>
      <c r="HGL12" s="513"/>
      <c r="HGM12" s="513"/>
      <c r="HGN12" s="513"/>
      <c r="HGO12" s="513"/>
      <c r="HGP12" s="513"/>
      <c r="HGQ12" s="513"/>
      <c r="HGR12" s="513"/>
      <c r="HGS12" s="513"/>
      <c r="HGT12" s="513"/>
      <c r="HGU12" s="513"/>
      <c r="HGV12" s="513"/>
      <c r="HGW12" s="513"/>
      <c r="HGX12" s="513"/>
      <c r="HGY12" s="513"/>
      <c r="HGZ12" s="513"/>
      <c r="HHA12" s="513"/>
      <c r="HHB12" s="513"/>
      <c r="HHC12" s="513"/>
      <c r="HHD12" s="513"/>
      <c r="HHE12" s="513"/>
      <c r="HHF12" s="513"/>
      <c r="HHG12" s="513"/>
      <c r="HHH12" s="513"/>
      <c r="HHI12" s="513"/>
      <c r="HHJ12" s="513"/>
      <c r="HHK12" s="513"/>
      <c r="HHL12" s="513"/>
      <c r="HHM12" s="513"/>
      <c r="HHN12" s="513"/>
      <c r="HHO12" s="513"/>
      <c r="HHP12" s="513"/>
      <c r="HHQ12" s="513"/>
      <c r="HHR12" s="513"/>
      <c r="HHS12" s="513"/>
      <c r="HHT12" s="513"/>
      <c r="HHU12" s="513"/>
      <c r="HHV12" s="513"/>
      <c r="HHW12" s="513"/>
      <c r="HHX12" s="513"/>
      <c r="HHY12" s="513"/>
      <c r="HHZ12" s="513"/>
      <c r="HIA12" s="513"/>
      <c r="HIB12" s="513"/>
      <c r="HIC12" s="513"/>
      <c r="HID12" s="513"/>
      <c r="HIE12" s="513"/>
      <c r="HIF12" s="513"/>
      <c r="HIG12" s="513"/>
      <c r="HIH12" s="513"/>
      <c r="HII12" s="513"/>
      <c r="HIJ12" s="513"/>
      <c r="HIK12" s="513"/>
      <c r="HIL12" s="513"/>
      <c r="HIM12" s="513"/>
      <c r="HIN12" s="513"/>
      <c r="HIO12" s="513"/>
      <c r="HIP12" s="513"/>
      <c r="HIQ12" s="513"/>
      <c r="HIR12" s="513"/>
      <c r="HIS12" s="513"/>
      <c r="HIT12" s="513"/>
      <c r="HIU12" s="513"/>
      <c r="HIV12" s="513"/>
      <c r="HIW12" s="513"/>
      <c r="HIX12" s="513"/>
      <c r="HIY12" s="513"/>
      <c r="HIZ12" s="513"/>
      <c r="HJA12" s="513"/>
      <c r="HJB12" s="513"/>
      <c r="HJC12" s="513"/>
      <c r="HJD12" s="513"/>
      <c r="HJE12" s="513"/>
      <c r="HJF12" s="513"/>
      <c r="HJG12" s="513"/>
      <c r="HJH12" s="513"/>
      <c r="HJI12" s="513"/>
      <c r="HJJ12" s="513"/>
      <c r="HJK12" s="513"/>
      <c r="HJL12" s="513"/>
      <c r="HJM12" s="513"/>
      <c r="HJN12" s="513"/>
      <c r="HJO12" s="513"/>
      <c r="HJP12" s="513"/>
      <c r="HJQ12" s="513"/>
      <c r="HJR12" s="513"/>
      <c r="HJS12" s="513"/>
      <c r="HJT12" s="513"/>
      <c r="HJU12" s="513"/>
      <c r="HJV12" s="513"/>
      <c r="HJW12" s="513"/>
      <c r="HJX12" s="513"/>
      <c r="HJY12" s="513"/>
      <c r="HJZ12" s="513"/>
      <c r="HKA12" s="513"/>
      <c r="HKB12" s="513"/>
      <c r="HKC12" s="513"/>
      <c r="HKD12" s="513"/>
      <c r="HKE12" s="513"/>
      <c r="HKF12" s="513"/>
      <c r="HKG12" s="513"/>
      <c r="HKH12" s="513"/>
      <c r="HKI12" s="513"/>
      <c r="HKJ12" s="513"/>
      <c r="HKK12" s="513"/>
      <c r="HKL12" s="513"/>
      <c r="HKM12" s="513"/>
      <c r="HKN12" s="513"/>
      <c r="HKO12" s="513"/>
      <c r="HKP12" s="513"/>
      <c r="HKQ12" s="513"/>
      <c r="HKR12" s="513"/>
      <c r="HKS12" s="513"/>
      <c r="HKT12" s="513"/>
      <c r="HKU12" s="513"/>
      <c r="HKV12" s="513"/>
      <c r="HKW12" s="513"/>
      <c r="HKX12" s="513"/>
      <c r="HKY12" s="513"/>
      <c r="HKZ12" s="513"/>
      <c r="HLA12" s="513"/>
      <c r="HLB12" s="513"/>
      <c r="HLC12" s="513"/>
      <c r="HLD12" s="513"/>
      <c r="HLE12" s="513"/>
      <c r="HLF12" s="513"/>
      <c r="HLG12" s="513"/>
      <c r="HLH12" s="513"/>
      <c r="HLI12" s="513"/>
      <c r="HLJ12" s="513"/>
      <c r="HLK12" s="513"/>
      <c r="HLL12" s="513"/>
      <c r="HLM12" s="513"/>
      <c r="HLN12" s="513"/>
      <c r="HLO12" s="513"/>
      <c r="HLP12" s="513"/>
      <c r="HLQ12" s="513"/>
      <c r="HLR12" s="513"/>
      <c r="HLS12" s="513"/>
      <c r="HLT12" s="513"/>
      <c r="HLU12" s="513"/>
      <c r="HLV12" s="513"/>
      <c r="HLW12" s="513"/>
      <c r="HLX12" s="513"/>
      <c r="HLY12" s="513"/>
      <c r="HLZ12" s="513"/>
      <c r="HMA12" s="513"/>
      <c r="HMB12" s="513"/>
      <c r="HMC12" s="513"/>
      <c r="HMD12" s="513"/>
      <c r="HME12" s="513"/>
      <c r="HMF12" s="513"/>
      <c r="HMG12" s="513"/>
      <c r="HMH12" s="513"/>
      <c r="HMI12" s="513"/>
      <c r="HMJ12" s="513"/>
      <c r="HMK12" s="513"/>
      <c r="HML12" s="513"/>
      <c r="HMM12" s="513"/>
      <c r="HMN12" s="513"/>
      <c r="HMO12" s="513"/>
      <c r="HMP12" s="513"/>
      <c r="HMQ12" s="513"/>
      <c r="HMR12" s="513"/>
      <c r="HMS12" s="513"/>
      <c r="HMT12" s="513"/>
      <c r="HMU12" s="513"/>
      <c r="HMV12" s="513"/>
      <c r="HMW12" s="513"/>
      <c r="HMX12" s="513"/>
      <c r="HMY12" s="513"/>
      <c r="HMZ12" s="513"/>
      <c r="HNA12" s="513"/>
      <c r="HNB12" s="513"/>
      <c r="HNC12" s="513"/>
      <c r="HND12" s="513"/>
      <c r="HNE12" s="513"/>
      <c r="HNF12" s="513"/>
      <c r="HNG12" s="513"/>
      <c r="HNH12" s="513"/>
      <c r="HNI12" s="513"/>
      <c r="HNJ12" s="513"/>
      <c r="HNK12" s="513"/>
      <c r="HNL12" s="513"/>
      <c r="HNM12" s="513"/>
      <c r="HNN12" s="513"/>
      <c r="HNO12" s="513"/>
      <c r="HNP12" s="513"/>
      <c r="HNQ12" s="513"/>
      <c r="HNR12" s="513"/>
      <c r="HNS12" s="513"/>
      <c r="HNT12" s="513"/>
      <c r="HNU12" s="513"/>
      <c r="HNV12" s="513"/>
      <c r="HNW12" s="513"/>
      <c r="HNX12" s="513"/>
      <c r="HNY12" s="513"/>
      <c r="HNZ12" s="513"/>
      <c r="HOA12" s="513"/>
      <c r="HOB12" s="513"/>
      <c r="HOC12" s="513"/>
      <c r="HOD12" s="513"/>
      <c r="HOE12" s="513"/>
      <c r="HOF12" s="513"/>
      <c r="HOG12" s="513"/>
      <c r="HOH12" s="513"/>
      <c r="HOI12" s="513"/>
      <c r="HOJ12" s="513"/>
      <c r="HOK12" s="513"/>
      <c r="HOL12" s="513"/>
      <c r="HOM12" s="513"/>
      <c r="HON12" s="513"/>
      <c r="HOO12" s="513"/>
      <c r="HOP12" s="513"/>
      <c r="HOQ12" s="513"/>
      <c r="HOR12" s="513"/>
      <c r="HOS12" s="513"/>
      <c r="HOT12" s="513"/>
      <c r="HOU12" s="513"/>
      <c r="HOV12" s="513"/>
      <c r="HOW12" s="513"/>
      <c r="HOX12" s="513"/>
      <c r="HOY12" s="513"/>
      <c r="HOZ12" s="513"/>
      <c r="HPA12" s="513"/>
      <c r="HPB12" s="513"/>
      <c r="HPC12" s="513"/>
      <c r="HPD12" s="513"/>
      <c r="HPE12" s="513"/>
      <c r="HPF12" s="513"/>
      <c r="HPG12" s="513"/>
      <c r="HPH12" s="513"/>
      <c r="HPI12" s="513"/>
      <c r="HPJ12" s="513"/>
      <c r="HPK12" s="513"/>
      <c r="HPL12" s="513"/>
      <c r="HPM12" s="513"/>
      <c r="HPN12" s="513"/>
      <c r="HPO12" s="513"/>
      <c r="HPP12" s="513"/>
      <c r="HPQ12" s="513"/>
      <c r="HPR12" s="513"/>
      <c r="HPS12" s="513"/>
      <c r="HPT12" s="513"/>
      <c r="HPU12" s="513"/>
      <c r="HPV12" s="513"/>
      <c r="HPW12" s="513"/>
      <c r="HPX12" s="513"/>
      <c r="HPY12" s="513"/>
      <c r="HPZ12" s="513"/>
      <c r="HQA12" s="513"/>
      <c r="HQB12" s="513"/>
      <c r="HQC12" s="513"/>
      <c r="HQD12" s="513"/>
      <c r="HQE12" s="513"/>
      <c r="HQF12" s="513"/>
      <c r="HQG12" s="513"/>
      <c r="HQH12" s="513"/>
      <c r="HQI12" s="513"/>
      <c r="HQJ12" s="513"/>
      <c r="HQK12" s="513"/>
      <c r="HQL12" s="513"/>
      <c r="HQM12" s="513"/>
      <c r="HQN12" s="513"/>
      <c r="HQO12" s="513"/>
      <c r="HQP12" s="513"/>
      <c r="HQQ12" s="513"/>
      <c r="HQR12" s="513"/>
      <c r="HQS12" s="513"/>
      <c r="HQT12" s="513"/>
      <c r="HQU12" s="513"/>
      <c r="HQV12" s="513"/>
      <c r="HQW12" s="513"/>
      <c r="HQX12" s="513"/>
      <c r="HQY12" s="513"/>
      <c r="HQZ12" s="513"/>
      <c r="HRA12" s="513"/>
      <c r="HRB12" s="513"/>
      <c r="HRC12" s="513"/>
      <c r="HRD12" s="513"/>
      <c r="HRE12" s="513"/>
      <c r="HRF12" s="513"/>
      <c r="HRG12" s="513"/>
      <c r="HRH12" s="513"/>
      <c r="HRI12" s="513"/>
      <c r="HRJ12" s="513"/>
      <c r="HRK12" s="513"/>
      <c r="HRL12" s="513"/>
      <c r="HRM12" s="513"/>
      <c r="HRN12" s="513"/>
      <c r="HRO12" s="513"/>
      <c r="HRP12" s="513"/>
      <c r="HRQ12" s="513"/>
      <c r="HRR12" s="513"/>
      <c r="HRS12" s="513"/>
      <c r="HRT12" s="513"/>
      <c r="HRU12" s="513"/>
      <c r="HRV12" s="513"/>
      <c r="HRW12" s="513"/>
      <c r="HRX12" s="513"/>
      <c r="HRY12" s="513"/>
      <c r="HRZ12" s="513"/>
      <c r="HSA12" s="513"/>
      <c r="HSB12" s="513"/>
      <c r="HSC12" s="513"/>
      <c r="HSD12" s="513"/>
      <c r="HSE12" s="513"/>
      <c r="HSF12" s="513"/>
      <c r="HSG12" s="513"/>
      <c r="HSH12" s="513"/>
      <c r="HSI12" s="513"/>
      <c r="HSJ12" s="513"/>
      <c r="HSK12" s="513"/>
      <c r="HSL12" s="513"/>
      <c r="HSM12" s="513"/>
      <c r="HSN12" s="513"/>
      <c r="HSO12" s="513"/>
      <c r="HSP12" s="513"/>
      <c r="HSQ12" s="513"/>
      <c r="HSR12" s="513"/>
      <c r="HSS12" s="513"/>
      <c r="HST12" s="513"/>
      <c r="HSU12" s="513"/>
      <c r="HSV12" s="513"/>
      <c r="HSW12" s="513"/>
      <c r="HSX12" s="513"/>
      <c r="HSY12" s="513"/>
      <c r="HSZ12" s="513"/>
      <c r="HTA12" s="513"/>
      <c r="HTB12" s="513"/>
      <c r="HTC12" s="513"/>
      <c r="HTD12" s="513"/>
      <c r="HTE12" s="513"/>
      <c r="HTF12" s="513"/>
      <c r="HTG12" s="513"/>
      <c r="HTH12" s="513"/>
      <c r="HTI12" s="513"/>
      <c r="HTJ12" s="513"/>
      <c r="HTK12" s="513"/>
      <c r="HTL12" s="513"/>
      <c r="HTM12" s="513"/>
      <c r="HTN12" s="513"/>
      <c r="HTO12" s="513"/>
      <c r="HTP12" s="513"/>
      <c r="HTQ12" s="513"/>
      <c r="HTR12" s="513"/>
      <c r="HTS12" s="513"/>
      <c r="HTT12" s="513"/>
      <c r="HTU12" s="513"/>
      <c r="HTV12" s="513"/>
      <c r="HTW12" s="513"/>
      <c r="HTX12" s="513"/>
      <c r="HTY12" s="513"/>
      <c r="HTZ12" s="513"/>
      <c r="HUA12" s="513"/>
      <c r="HUB12" s="513"/>
      <c r="HUC12" s="513"/>
      <c r="HUD12" s="513"/>
      <c r="HUE12" s="513"/>
      <c r="HUF12" s="513"/>
      <c r="HUG12" s="513"/>
      <c r="HUH12" s="513"/>
      <c r="HUI12" s="513"/>
      <c r="HUJ12" s="513"/>
      <c r="HUK12" s="513"/>
      <c r="HUL12" s="513"/>
      <c r="HUM12" s="513"/>
      <c r="HUN12" s="513"/>
      <c r="HUO12" s="513"/>
      <c r="HUP12" s="513"/>
      <c r="HUQ12" s="513"/>
      <c r="HUR12" s="513"/>
      <c r="HUS12" s="513"/>
      <c r="HUT12" s="513"/>
      <c r="HUU12" s="513"/>
      <c r="HUV12" s="513"/>
      <c r="HUW12" s="513"/>
      <c r="HUX12" s="513"/>
      <c r="HUY12" s="513"/>
      <c r="HUZ12" s="513"/>
      <c r="HVA12" s="513"/>
      <c r="HVB12" s="513"/>
      <c r="HVC12" s="513"/>
      <c r="HVD12" s="513"/>
      <c r="HVE12" s="513"/>
      <c r="HVF12" s="513"/>
      <c r="HVG12" s="513"/>
      <c r="HVH12" s="513"/>
      <c r="HVI12" s="513"/>
      <c r="HVJ12" s="513"/>
      <c r="HVK12" s="513"/>
      <c r="HVL12" s="513"/>
      <c r="HVM12" s="513"/>
      <c r="HVN12" s="513"/>
      <c r="HVO12" s="513"/>
      <c r="HVP12" s="513"/>
      <c r="HVQ12" s="513"/>
      <c r="HVR12" s="513"/>
      <c r="HVS12" s="513"/>
      <c r="HVT12" s="513"/>
      <c r="HVU12" s="513"/>
      <c r="HVV12" s="513"/>
      <c r="HVW12" s="513"/>
      <c r="HVX12" s="513"/>
      <c r="HVY12" s="513"/>
      <c r="HVZ12" s="513"/>
      <c r="HWA12" s="513"/>
      <c r="HWB12" s="513"/>
      <c r="HWC12" s="513"/>
      <c r="HWD12" s="513"/>
      <c r="HWE12" s="513"/>
      <c r="HWF12" s="513"/>
      <c r="HWG12" s="513"/>
      <c r="HWH12" s="513"/>
      <c r="HWI12" s="513"/>
      <c r="HWJ12" s="513"/>
      <c r="HWK12" s="513"/>
      <c r="HWL12" s="513"/>
      <c r="HWM12" s="513"/>
      <c r="HWN12" s="513"/>
      <c r="HWO12" s="513"/>
      <c r="HWP12" s="513"/>
      <c r="HWQ12" s="513"/>
      <c r="HWR12" s="513"/>
      <c r="HWS12" s="513"/>
      <c r="HWT12" s="513"/>
      <c r="HWU12" s="513"/>
      <c r="HWV12" s="513"/>
      <c r="HWW12" s="513"/>
      <c r="HWX12" s="513"/>
      <c r="HWY12" s="513"/>
      <c r="HWZ12" s="513"/>
      <c r="HXA12" s="513"/>
      <c r="HXB12" s="513"/>
      <c r="HXC12" s="513"/>
      <c r="HXD12" s="513"/>
      <c r="HXE12" s="513"/>
      <c r="HXF12" s="513"/>
      <c r="HXG12" s="513"/>
      <c r="HXH12" s="513"/>
      <c r="HXI12" s="513"/>
      <c r="HXJ12" s="513"/>
      <c r="HXK12" s="513"/>
      <c r="HXL12" s="513"/>
      <c r="HXM12" s="513"/>
      <c r="HXN12" s="513"/>
      <c r="HXO12" s="513"/>
      <c r="HXP12" s="513"/>
      <c r="HXQ12" s="513"/>
      <c r="HXR12" s="513"/>
      <c r="HXS12" s="513"/>
      <c r="HXT12" s="513"/>
      <c r="HXU12" s="513"/>
      <c r="HXV12" s="513"/>
      <c r="HXW12" s="513"/>
      <c r="HXX12" s="513"/>
      <c r="HXY12" s="513"/>
      <c r="HXZ12" s="513"/>
      <c r="HYA12" s="513"/>
      <c r="HYB12" s="513"/>
      <c r="HYC12" s="513"/>
      <c r="HYD12" s="513"/>
      <c r="HYE12" s="513"/>
      <c r="HYF12" s="513"/>
      <c r="HYG12" s="513"/>
      <c r="HYH12" s="513"/>
      <c r="HYI12" s="513"/>
      <c r="HYJ12" s="513"/>
      <c r="HYK12" s="513"/>
      <c r="HYL12" s="513"/>
      <c r="HYM12" s="513"/>
      <c r="HYN12" s="513"/>
      <c r="HYO12" s="513"/>
      <c r="HYP12" s="513"/>
      <c r="HYQ12" s="513"/>
      <c r="HYR12" s="513"/>
      <c r="HYS12" s="513"/>
      <c r="HYT12" s="513"/>
      <c r="HYU12" s="513"/>
      <c r="HYV12" s="513"/>
      <c r="HYW12" s="513"/>
      <c r="HYX12" s="513"/>
      <c r="HYY12" s="513"/>
      <c r="HYZ12" s="513"/>
      <c r="HZA12" s="513"/>
      <c r="HZB12" s="513"/>
      <c r="HZC12" s="513"/>
      <c r="HZD12" s="513"/>
      <c r="HZE12" s="513"/>
      <c r="HZF12" s="513"/>
      <c r="HZG12" s="513"/>
      <c r="HZH12" s="513"/>
      <c r="HZI12" s="513"/>
      <c r="HZJ12" s="513"/>
      <c r="HZK12" s="513"/>
      <c r="HZL12" s="513"/>
      <c r="HZM12" s="513"/>
      <c r="HZN12" s="513"/>
      <c r="HZO12" s="513"/>
      <c r="HZP12" s="513"/>
      <c r="HZQ12" s="513"/>
      <c r="HZR12" s="513"/>
      <c r="HZS12" s="513"/>
      <c r="HZT12" s="513"/>
      <c r="HZU12" s="513"/>
      <c r="HZV12" s="513"/>
      <c r="HZW12" s="513"/>
      <c r="HZX12" s="513"/>
      <c r="HZY12" s="513"/>
      <c r="HZZ12" s="513"/>
      <c r="IAA12" s="513"/>
      <c r="IAB12" s="513"/>
      <c r="IAC12" s="513"/>
      <c r="IAD12" s="513"/>
      <c r="IAE12" s="513"/>
      <c r="IAF12" s="513"/>
      <c r="IAG12" s="513"/>
      <c r="IAH12" s="513"/>
      <c r="IAI12" s="513"/>
      <c r="IAJ12" s="513"/>
      <c r="IAK12" s="513"/>
      <c r="IAL12" s="513"/>
      <c r="IAM12" s="513"/>
      <c r="IAN12" s="513"/>
      <c r="IAO12" s="513"/>
      <c r="IAP12" s="513"/>
      <c r="IAQ12" s="513"/>
      <c r="IAR12" s="513"/>
      <c r="IAS12" s="513"/>
      <c r="IAT12" s="513"/>
      <c r="IAU12" s="513"/>
      <c r="IAV12" s="513"/>
      <c r="IAW12" s="513"/>
      <c r="IAX12" s="513"/>
      <c r="IAY12" s="513"/>
      <c r="IAZ12" s="513"/>
      <c r="IBA12" s="513"/>
      <c r="IBB12" s="513"/>
      <c r="IBC12" s="513"/>
      <c r="IBD12" s="513"/>
      <c r="IBE12" s="513"/>
      <c r="IBF12" s="513"/>
      <c r="IBG12" s="513"/>
      <c r="IBH12" s="513"/>
      <c r="IBI12" s="513"/>
      <c r="IBJ12" s="513"/>
      <c r="IBK12" s="513"/>
      <c r="IBL12" s="513"/>
      <c r="IBM12" s="513"/>
      <c r="IBN12" s="513"/>
      <c r="IBO12" s="513"/>
      <c r="IBP12" s="513"/>
      <c r="IBQ12" s="513"/>
      <c r="IBR12" s="513"/>
      <c r="IBS12" s="513"/>
      <c r="IBT12" s="513"/>
      <c r="IBU12" s="513"/>
      <c r="IBV12" s="513"/>
      <c r="IBW12" s="513"/>
      <c r="IBX12" s="513"/>
      <c r="IBY12" s="513"/>
      <c r="IBZ12" s="513"/>
      <c r="ICA12" s="513"/>
      <c r="ICB12" s="513"/>
      <c r="ICC12" s="513"/>
      <c r="ICD12" s="513"/>
      <c r="ICE12" s="513"/>
      <c r="ICF12" s="513"/>
      <c r="ICG12" s="513"/>
      <c r="ICH12" s="513"/>
      <c r="ICI12" s="513"/>
      <c r="ICJ12" s="513"/>
      <c r="ICK12" s="513"/>
      <c r="ICL12" s="513"/>
      <c r="ICM12" s="513"/>
      <c r="ICN12" s="513"/>
      <c r="ICO12" s="513"/>
      <c r="ICP12" s="513"/>
      <c r="ICQ12" s="513"/>
      <c r="ICR12" s="513"/>
      <c r="ICS12" s="513"/>
      <c r="ICT12" s="513"/>
      <c r="ICU12" s="513"/>
      <c r="ICV12" s="513"/>
      <c r="ICW12" s="513"/>
      <c r="ICX12" s="513"/>
      <c r="ICY12" s="513"/>
      <c r="ICZ12" s="513"/>
      <c r="IDA12" s="513"/>
      <c r="IDB12" s="513"/>
      <c r="IDC12" s="513"/>
      <c r="IDD12" s="513"/>
      <c r="IDE12" s="513"/>
      <c r="IDF12" s="513"/>
      <c r="IDG12" s="513"/>
      <c r="IDH12" s="513"/>
      <c r="IDI12" s="513"/>
      <c r="IDJ12" s="513"/>
      <c r="IDK12" s="513"/>
      <c r="IDL12" s="513"/>
      <c r="IDM12" s="513"/>
      <c r="IDN12" s="513"/>
      <c r="IDO12" s="513"/>
      <c r="IDP12" s="513"/>
      <c r="IDQ12" s="513"/>
      <c r="IDR12" s="513"/>
      <c r="IDS12" s="513"/>
      <c r="IDT12" s="513"/>
      <c r="IDU12" s="513"/>
      <c r="IDV12" s="513"/>
      <c r="IDW12" s="513"/>
      <c r="IDX12" s="513"/>
      <c r="IDY12" s="513"/>
      <c r="IDZ12" s="513"/>
      <c r="IEA12" s="513"/>
      <c r="IEB12" s="513"/>
      <c r="IEC12" s="513"/>
      <c r="IED12" s="513"/>
      <c r="IEE12" s="513"/>
      <c r="IEF12" s="513"/>
      <c r="IEG12" s="513"/>
      <c r="IEH12" s="513"/>
      <c r="IEI12" s="513"/>
      <c r="IEJ12" s="513"/>
      <c r="IEK12" s="513"/>
      <c r="IEL12" s="513"/>
      <c r="IEM12" s="513"/>
      <c r="IEN12" s="513"/>
      <c r="IEO12" s="513"/>
      <c r="IEP12" s="513"/>
      <c r="IEQ12" s="513"/>
      <c r="IER12" s="513"/>
      <c r="IES12" s="513"/>
      <c r="IET12" s="513"/>
      <c r="IEU12" s="513"/>
      <c r="IEV12" s="513"/>
      <c r="IEW12" s="513"/>
      <c r="IEX12" s="513"/>
      <c r="IEY12" s="513"/>
      <c r="IEZ12" s="513"/>
      <c r="IFA12" s="513"/>
      <c r="IFB12" s="513"/>
      <c r="IFC12" s="513"/>
      <c r="IFD12" s="513"/>
      <c r="IFE12" s="513"/>
      <c r="IFF12" s="513"/>
      <c r="IFG12" s="513"/>
      <c r="IFH12" s="513"/>
      <c r="IFI12" s="513"/>
      <c r="IFJ12" s="513"/>
      <c r="IFK12" s="513"/>
      <c r="IFL12" s="513"/>
      <c r="IFM12" s="513"/>
      <c r="IFN12" s="513"/>
      <c r="IFO12" s="513"/>
      <c r="IFP12" s="513"/>
      <c r="IFQ12" s="513"/>
      <c r="IFR12" s="513"/>
      <c r="IFS12" s="513"/>
      <c r="IFT12" s="513"/>
      <c r="IFU12" s="513"/>
      <c r="IFV12" s="513"/>
      <c r="IFW12" s="513"/>
      <c r="IFX12" s="513"/>
      <c r="IFY12" s="513"/>
      <c r="IFZ12" s="513"/>
      <c r="IGA12" s="513"/>
      <c r="IGB12" s="513"/>
      <c r="IGC12" s="513"/>
      <c r="IGD12" s="513"/>
      <c r="IGE12" s="513"/>
      <c r="IGF12" s="513"/>
      <c r="IGG12" s="513"/>
      <c r="IGH12" s="513"/>
      <c r="IGI12" s="513"/>
      <c r="IGJ12" s="513"/>
      <c r="IGK12" s="513"/>
      <c r="IGL12" s="513"/>
      <c r="IGM12" s="513"/>
      <c r="IGN12" s="513"/>
      <c r="IGO12" s="513"/>
      <c r="IGP12" s="513"/>
      <c r="IGQ12" s="513"/>
      <c r="IGR12" s="513"/>
      <c r="IGS12" s="513"/>
      <c r="IGT12" s="513"/>
      <c r="IGU12" s="513"/>
      <c r="IGV12" s="513"/>
      <c r="IGW12" s="513"/>
      <c r="IGX12" s="513"/>
      <c r="IGY12" s="513"/>
      <c r="IGZ12" s="513"/>
      <c r="IHA12" s="513"/>
      <c r="IHB12" s="513"/>
      <c r="IHC12" s="513"/>
      <c r="IHD12" s="513"/>
      <c r="IHE12" s="513"/>
      <c r="IHF12" s="513"/>
      <c r="IHG12" s="513"/>
      <c r="IHH12" s="513"/>
      <c r="IHI12" s="513"/>
      <c r="IHJ12" s="513"/>
      <c r="IHK12" s="513"/>
      <c r="IHL12" s="513"/>
      <c r="IHM12" s="513"/>
      <c r="IHN12" s="513"/>
      <c r="IHO12" s="513"/>
      <c r="IHP12" s="513"/>
      <c r="IHQ12" s="513"/>
      <c r="IHR12" s="513"/>
      <c r="IHS12" s="513"/>
      <c r="IHT12" s="513"/>
      <c r="IHU12" s="513"/>
      <c r="IHV12" s="513"/>
      <c r="IHW12" s="513"/>
      <c r="IHX12" s="513"/>
      <c r="IHY12" s="513"/>
      <c r="IHZ12" s="513"/>
      <c r="IIA12" s="513"/>
      <c r="IIB12" s="513"/>
      <c r="IIC12" s="513"/>
      <c r="IID12" s="513"/>
      <c r="IIE12" s="513"/>
      <c r="IIF12" s="513"/>
      <c r="IIG12" s="513"/>
      <c r="IIH12" s="513"/>
      <c r="III12" s="513"/>
      <c r="IIJ12" s="513"/>
      <c r="IIK12" s="513"/>
      <c r="IIL12" s="513"/>
      <c r="IIM12" s="513"/>
      <c r="IIN12" s="513"/>
      <c r="IIO12" s="513"/>
      <c r="IIP12" s="513"/>
      <c r="IIQ12" s="513"/>
      <c r="IIR12" s="513"/>
      <c r="IIS12" s="513"/>
      <c r="IIT12" s="513"/>
      <c r="IIU12" s="513"/>
      <c r="IIV12" s="513"/>
      <c r="IIW12" s="513"/>
      <c r="IIX12" s="513"/>
      <c r="IIY12" s="513"/>
      <c r="IIZ12" s="513"/>
      <c r="IJA12" s="513"/>
      <c r="IJB12" s="513"/>
      <c r="IJC12" s="513"/>
      <c r="IJD12" s="513"/>
      <c r="IJE12" s="513"/>
      <c r="IJF12" s="513"/>
      <c r="IJG12" s="513"/>
      <c r="IJH12" s="513"/>
      <c r="IJI12" s="513"/>
      <c r="IJJ12" s="513"/>
      <c r="IJK12" s="513"/>
      <c r="IJL12" s="513"/>
      <c r="IJM12" s="513"/>
      <c r="IJN12" s="513"/>
      <c r="IJO12" s="513"/>
      <c r="IJP12" s="513"/>
      <c r="IJQ12" s="513"/>
      <c r="IJR12" s="513"/>
      <c r="IJS12" s="513"/>
      <c r="IJT12" s="513"/>
      <c r="IJU12" s="513"/>
      <c r="IJV12" s="513"/>
      <c r="IJW12" s="513"/>
      <c r="IJX12" s="513"/>
      <c r="IJY12" s="513"/>
      <c r="IJZ12" s="513"/>
      <c r="IKA12" s="513"/>
      <c r="IKB12" s="513"/>
      <c r="IKC12" s="513"/>
      <c r="IKD12" s="513"/>
      <c r="IKE12" s="513"/>
      <c r="IKF12" s="513"/>
      <c r="IKG12" s="513"/>
      <c r="IKH12" s="513"/>
      <c r="IKI12" s="513"/>
      <c r="IKJ12" s="513"/>
      <c r="IKK12" s="513"/>
      <c r="IKL12" s="513"/>
      <c r="IKM12" s="513"/>
      <c r="IKN12" s="513"/>
      <c r="IKO12" s="513"/>
      <c r="IKP12" s="513"/>
      <c r="IKQ12" s="513"/>
      <c r="IKR12" s="513"/>
      <c r="IKS12" s="513"/>
      <c r="IKT12" s="513"/>
      <c r="IKU12" s="513"/>
      <c r="IKV12" s="513"/>
      <c r="IKW12" s="513"/>
      <c r="IKX12" s="513"/>
      <c r="IKY12" s="513"/>
      <c r="IKZ12" s="513"/>
      <c r="ILA12" s="513"/>
      <c r="ILB12" s="513"/>
      <c r="ILC12" s="513"/>
      <c r="ILD12" s="513"/>
      <c r="ILE12" s="513"/>
      <c r="ILF12" s="513"/>
      <c r="ILG12" s="513"/>
      <c r="ILH12" s="513"/>
      <c r="ILI12" s="513"/>
      <c r="ILJ12" s="513"/>
      <c r="ILK12" s="513"/>
      <c r="ILL12" s="513"/>
      <c r="ILM12" s="513"/>
      <c r="ILN12" s="513"/>
      <c r="ILO12" s="513"/>
      <c r="ILP12" s="513"/>
      <c r="ILQ12" s="513"/>
      <c r="ILR12" s="513"/>
      <c r="ILS12" s="513"/>
      <c r="ILT12" s="513"/>
      <c r="ILU12" s="513"/>
      <c r="ILV12" s="513"/>
      <c r="ILW12" s="513"/>
      <c r="ILX12" s="513"/>
      <c r="ILY12" s="513"/>
      <c r="ILZ12" s="513"/>
      <c r="IMA12" s="513"/>
      <c r="IMB12" s="513"/>
      <c r="IMC12" s="513"/>
      <c r="IMD12" s="513"/>
      <c r="IME12" s="513"/>
      <c r="IMF12" s="513"/>
      <c r="IMG12" s="513"/>
      <c r="IMH12" s="513"/>
      <c r="IMI12" s="513"/>
      <c r="IMJ12" s="513"/>
      <c r="IMK12" s="513"/>
      <c r="IML12" s="513"/>
      <c r="IMM12" s="513"/>
      <c r="IMN12" s="513"/>
      <c r="IMO12" s="513"/>
      <c r="IMP12" s="513"/>
      <c r="IMQ12" s="513"/>
      <c r="IMR12" s="513"/>
      <c r="IMS12" s="513"/>
      <c r="IMT12" s="513"/>
      <c r="IMU12" s="513"/>
      <c r="IMV12" s="513"/>
      <c r="IMW12" s="513"/>
      <c r="IMX12" s="513"/>
      <c r="IMY12" s="513"/>
      <c r="IMZ12" s="513"/>
      <c r="INA12" s="513"/>
      <c r="INB12" s="513"/>
      <c r="INC12" s="513"/>
      <c r="IND12" s="513"/>
      <c r="INE12" s="513"/>
      <c r="INF12" s="513"/>
      <c r="ING12" s="513"/>
      <c r="INH12" s="513"/>
      <c r="INI12" s="513"/>
      <c r="INJ12" s="513"/>
      <c r="INK12" s="513"/>
      <c r="INL12" s="513"/>
      <c r="INM12" s="513"/>
      <c r="INN12" s="513"/>
      <c r="INO12" s="513"/>
      <c r="INP12" s="513"/>
      <c r="INQ12" s="513"/>
      <c r="INR12" s="513"/>
      <c r="INS12" s="513"/>
      <c r="INT12" s="513"/>
      <c r="INU12" s="513"/>
      <c r="INV12" s="513"/>
      <c r="INW12" s="513"/>
      <c r="INX12" s="513"/>
      <c r="INY12" s="513"/>
      <c r="INZ12" s="513"/>
      <c r="IOA12" s="513"/>
      <c r="IOB12" s="513"/>
      <c r="IOC12" s="513"/>
      <c r="IOD12" s="513"/>
      <c r="IOE12" s="513"/>
      <c r="IOF12" s="513"/>
      <c r="IOG12" s="513"/>
      <c r="IOH12" s="513"/>
      <c r="IOI12" s="513"/>
      <c r="IOJ12" s="513"/>
      <c r="IOK12" s="513"/>
      <c r="IOL12" s="513"/>
      <c r="IOM12" s="513"/>
      <c r="ION12" s="513"/>
      <c r="IOO12" s="513"/>
      <c r="IOP12" s="513"/>
      <c r="IOQ12" s="513"/>
      <c r="IOR12" s="513"/>
      <c r="IOS12" s="513"/>
      <c r="IOT12" s="513"/>
      <c r="IOU12" s="513"/>
      <c r="IOV12" s="513"/>
      <c r="IOW12" s="513"/>
      <c r="IOX12" s="513"/>
      <c r="IOY12" s="513"/>
      <c r="IOZ12" s="513"/>
      <c r="IPA12" s="513"/>
      <c r="IPB12" s="513"/>
      <c r="IPC12" s="513"/>
      <c r="IPD12" s="513"/>
      <c r="IPE12" s="513"/>
      <c r="IPF12" s="513"/>
      <c r="IPG12" s="513"/>
      <c r="IPH12" s="513"/>
      <c r="IPI12" s="513"/>
      <c r="IPJ12" s="513"/>
      <c r="IPK12" s="513"/>
      <c r="IPL12" s="513"/>
      <c r="IPM12" s="513"/>
      <c r="IPN12" s="513"/>
      <c r="IPO12" s="513"/>
      <c r="IPP12" s="513"/>
      <c r="IPQ12" s="513"/>
      <c r="IPR12" s="513"/>
      <c r="IPS12" s="513"/>
      <c r="IPT12" s="513"/>
      <c r="IPU12" s="513"/>
      <c r="IPV12" s="513"/>
      <c r="IPW12" s="513"/>
      <c r="IPX12" s="513"/>
      <c r="IPY12" s="513"/>
      <c r="IPZ12" s="513"/>
      <c r="IQA12" s="513"/>
      <c r="IQB12" s="513"/>
      <c r="IQC12" s="513"/>
      <c r="IQD12" s="513"/>
      <c r="IQE12" s="513"/>
      <c r="IQF12" s="513"/>
      <c r="IQG12" s="513"/>
      <c r="IQH12" s="513"/>
      <c r="IQI12" s="513"/>
      <c r="IQJ12" s="513"/>
      <c r="IQK12" s="513"/>
      <c r="IQL12" s="513"/>
      <c r="IQM12" s="513"/>
      <c r="IQN12" s="513"/>
      <c r="IQO12" s="513"/>
      <c r="IQP12" s="513"/>
      <c r="IQQ12" s="513"/>
      <c r="IQR12" s="513"/>
      <c r="IQS12" s="513"/>
      <c r="IQT12" s="513"/>
      <c r="IQU12" s="513"/>
      <c r="IQV12" s="513"/>
      <c r="IQW12" s="513"/>
      <c r="IQX12" s="513"/>
      <c r="IQY12" s="513"/>
      <c r="IQZ12" s="513"/>
      <c r="IRA12" s="513"/>
      <c r="IRB12" s="513"/>
      <c r="IRC12" s="513"/>
      <c r="IRD12" s="513"/>
      <c r="IRE12" s="513"/>
      <c r="IRF12" s="513"/>
      <c r="IRG12" s="513"/>
      <c r="IRH12" s="513"/>
      <c r="IRI12" s="513"/>
      <c r="IRJ12" s="513"/>
      <c r="IRK12" s="513"/>
      <c r="IRL12" s="513"/>
      <c r="IRM12" s="513"/>
      <c r="IRN12" s="513"/>
      <c r="IRO12" s="513"/>
      <c r="IRP12" s="513"/>
      <c r="IRQ12" s="513"/>
      <c r="IRR12" s="513"/>
      <c r="IRS12" s="513"/>
      <c r="IRT12" s="513"/>
      <c r="IRU12" s="513"/>
      <c r="IRV12" s="513"/>
      <c r="IRW12" s="513"/>
      <c r="IRX12" s="513"/>
      <c r="IRY12" s="513"/>
      <c r="IRZ12" s="513"/>
      <c r="ISA12" s="513"/>
      <c r="ISB12" s="513"/>
      <c r="ISC12" s="513"/>
      <c r="ISD12" s="513"/>
      <c r="ISE12" s="513"/>
      <c r="ISF12" s="513"/>
      <c r="ISG12" s="513"/>
      <c r="ISH12" s="513"/>
      <c r="ISI12" s="513"/>
      <c r="ISJ12" s="513"/>
      <c r="ISK12" s="513"/>
      <c r="ISL12" s="513"/>
      <c r="ISM12" s="513"/>
      <c r="ISN12" s="513"/>
      <c r="ISO12" s="513"/>
      <c r="ISP12" s="513"/>
      <c r="ISQ12" s="513"/>
      <c r="ISR12" s="513"/>
      <c r="ISS12" s="513"/>
      <c r="IST12" s="513"/>
      <c r="ISU12" s="513"/>
      <c r="ISV12" s="513"/>
      <c r="ISW12" s="513"/>
      <c r="ISX12" s="513"/>
      <c r="ISY12" s="513"/>
      <c r="ISZ12" s="513"/>
      <c r="ITA12" s="513"/>
      <c r="ITB12" s="513"/>
      <c r="ITC12" s="513"/>
      <c r="ITD12" s="513"/>
      <c r="ITE12" s="513"/>
      <c r="ITF12" s="513"/>
      <c r="ITG12" s="513"/>
      <c r="ITH12" s="513"/>
      <c r="ITI12" s="513"/>
      <c r="ITJ12" s="513"/>
      <c r="ITK12" s="513"/>
      <c r="ITL12" s="513"/>
      <c r="ITM12" s="513"/>
      <c r="ITN12" s="513"/>
      <c r="ITO12" s="513"/>
      <c r="ITP12" s="513"/>
      <c r="ITQ12" s="513"/>
      <c r="ITR12" s="513"/>
      <c r="ITS12" s="513"/>
      <c r="ITT12" s="513"/>
      <c r="ITU12" s="513"/>
      <c r="ITV12" s="513"/>
      <c r="ITW12" s="513"/>
      <c r="ITX12" s="513"/>
      <c r="ITY12" s="513"/>
      <c r="ITZ12" s="513"/>
      <c r="IUA12" s="513"/>
      <c r="IUB12" s="513"/>
      <c r="IUC12" s="513"/>
      <c r="IUD12" s="513"/>
      <c r="IUE12" s="513"/>
      <c r="IUF12" s="513"/>
      <c r="IUG12" s="513"/>
      <c r="IUH12" s="513"/>
      <c r="IUI12" s="513"/>
      <c r="IUJ12" s="513"/>
      <c r="IUK12" s="513"/>
      <c r="IUL12" s="513"/>
      <c r="IUM12" s="513"/>
      <c r="IUN12" s="513"/>
      <c r="IUO12" s="513"/>
      <c r="IUP12" s="513"/>
      <c r="IUQ12" s="513"/>
      <c r="IUR12" s="513"/>
      <c r="IUS12" s="513"/>
      <c r="IUT12" s="513"/>
      <c r="IUU12" s="513"/>
      <c r="IUV12" s="513"/>
      <c r="IUW12" s="513"/>
      <c r="IUX12" s="513"/>
      <c r="IUY12" s="513"/>
      <c r="IUZ12" s="513"/>
      <c r="IVA12" s="513"/>
      <c r="IVB12" s="513"/>
      <c r="IVC12" s="513"/>
      <c r="IVD12" s="513"/>
      <c r="IVE12" s="513"/>
      <c r="IVF12" s="513"/>
      <c r="IVG12" s="513"/>
      <c r="IVH12" s="513"/>
      <c r="IVI12" s="513"/>
      <c r="IVJ12" s="513"/>
      <c r="IVK12" s="513"/>
      <c r="IVL12" s="513"/>
      <c r="IVM12" s="513"/>
      <c r="IVN12" s="513"/>
      <c r="IVO12" s="513"/>
      <c r="IVP12" s="513"/>
      <c r="IVQ12" s="513"/>
      <c r="IVR12" s="513"/>
      <c r="IVS12" s="513"/>
      <c r="IVT12" s="513"/>
      <c r="IVU12" s="513"/>
      <c r="IVV12" s="513"/>
      <c r="IVW12" s="513"/>
      <c r="IVX12" s="513"/>
      <c r="IVY12" s="513"/>
      <c r="IVZ12" s="513"/>
      <c r="IWA12" s="513"/>
      <c r="IWB12" s="513"/>
      <c r="IWC12" s="513"/>
      <c r="IWD12" s="513"/>
      <c r="IWE12" s="513"/>
      <c r="IWF12" s="513"/>
      <c r="IWG12" s="513"/>
      <c r="IWH12" s="513"/>
      <c r="IWI12" s="513"/>
      <c r="IWJ12" s="513"/>
      <c r="IWK12" s="513"/>
      <c r="IWL12" s="513"/>
      <c r="IWM12" s="513"/>
      <c r="IWN12" s="513"/>
      <c r="IWO12" s="513"/>
      <c r="IWP12" s="513"/>
      <c r="IWQ12" s="513"/>
      <c r="IWR12" s="513"/>
      <c r="IWS12" s="513"/>
      <c r="IWT12" s="513"/>
      <c r="IWU12" s="513"/>
      <c r="IWV12" s="513"/>
      <c r="IWW12" s="513"/>
      <c r="IWX12" s="513"/>
      <c r="IWY12" s="513"/>
      <c r="IWZ12" s="513"/>
      <c r="IXA12" s="513"/>
      <c r="IXB12" s="513"/>
      <c r="IXC12" s="513"/>
      <c r="IXD12" s="513"/>
      <c r="IXE12" s="513"/>
      <c r="IXF12" s="513"/>
      <c r="IXG12" s="513"/>
      <c r="IXH12" s="513"/>
      <c r="IXI12" s="513"/>
      <c r="IXJ12" s="513"/>
      <c r="IXK12" s="513"/>
      <c r="IXL12" s="513"/>
      <c r="IXM12" s="513"/>
      <c r="IXN12" s="513"/>
      <c r="IXO12" s="513"/>
      <c r="IXP12" s="513"/>
      <c r="IXQ12" s="513"/>
      <c r="IXR12" s="513"/>
      <c r="IXS12" s="513"/>
      <c r="IXT12" s="513"/>
      <c r="IXU12" s="513"/>
      <c r="IXV12" s="513"/>
      <c r="IXW12" s="513"/>
      <c r="IXX12" s="513"/>
      <c r="IXY12" s="513"/>
      <c r="IXZ12" s="513"/>
      <c r="IYA12" s="513"/>
      <c r="IYB12" s="513"/>
      <c r="IYC12" s="513"/>
      <c r="IYD12" s="513"/>
      <c r="IYE12" s="513"/>
      <c r="IYF12" s="513"/>
      <c r="IYG12" s="513"/>
      <c r="IYH12" s="513"/>
      <c r="IYI12" s="513"/>
      <c r="IYJ12" s="513"/>
      <c r="IYK12" s="513"/>
      <c r="IYL12" s="513"/>
      <c r="IYM12" s="513"/>
      <c r="IYN12" s="513"/>
      <c r="IYO12" s="513"/>
      <c r="IYP12" s="513"/>
      <c r="IYQ12" s="513"/>
      <c r="IYR12" s="513"/>
      <c r="IYS12" s="513"/>
      <c r="IYT12" s="513"/>
      <c r="IYU12" s="513"/>
      <c r="IYV12" s="513"/>
      <c r="IYW12" s="513"/>
      <c r="IYX12" s="513"/>
      <c r="IYY12" s="513"/>
      <c r="IYZ12" s="513"/>
      <c r="IZA12" s="513"/>
      <c r="IZB12" s="513"/>
      <c r="IZC12" s="513"/>
      <c r="IZD12" s="513"/>
      <c r="IZE12" s="513"/>
      <c r="IZF12" s="513"/>
      <c r="IZG12" s="513"/>
      <c r="IZH12" s="513"/>
      <c r="IZI12" s="513"/>
      <c r="IZJ12" s="513"/>
      <c r="IZK12" s="513"/>
      <c r="IZL12" s="513"/>
      <c r="IZM12" s="513"/>
      <c r="IZN12" s="513"/>
      <c r="IZO12" s="513"/>
      <c r="IZP12" s="513"/>
      <c r="IZQ12" s="513"/>
      <c r="IZR12" s="513"/>
      <c r="IZS12" s="513"/>
      <c r="IZT12" s="513"/>
      <c r="IZU12" s="513"/>
      <c r="IZV12" s="513"/>
      <c r="IZW12" s="513"/>
      <c r="IZX12" s="513"/>
      <c r="IZY12" s="513"/>
      <c r="IZZ12" s="513"/>
      <c r="JAA12" s="513"/>
      <c r="JAB12" s="513"/>
      <c r="JAC12" s="513"/>
      <c r="JAD12" s="513"/>
      <c r="JAE12" s="513"/>
      <c r="JAF12" s="513"/>
      <c r="JAG12" s="513"/>
      <c r="JAH12" s="513"/>
      <c r="JAI12" s="513"/>
      <c r="JAJ12" s="513"/>
      <c r="JAK12" s="513"/>
      <c r="JAL12" s="513"/>
      <c r="JAM12" s="513"/>
      <c r="JAN12" s="513"/>
      <c r="JAO12" s="513"/>
      <c r="JAP12" s="513"/>
      <c r="JAQ12" s="513"/>
      <c r="JAR12" s="513"/>
      <c r="JAS12" s="513"/>
      <c r="JAT12" s="513"/>
      <c r="JAU12" s="513"/>
      <c r="JAV12" s="513"/>
      <c r="JAW12" s="513"/>
      <c r="JAX12" s="513"/>
      <c r="JAY12" s="513"/>
      <c r="JAZ12" s="513"/>
      <c r="JBA12" s="513"/>
      <c r="JBB12" s="513"/>
      <c r="JBC12" s="513"/>
      <c r="JBD12" s="513"/>
      <c r="JBE12" s="513"/>
      <c r="JBF12" s="513"/>
      <c r="JBG12" s="513"/>
      <c r="JBH12" s="513"/>
      <c r="JBI12" s="513"/>
      <c r="JBJ12" s="513"/>
      <c r="JBK12" s="513"/>
      <c r="JBL12" s="513"/>
      <c r="JBM12" s="513"/>
      <c r="JBN12" s="513"/>
      <c r="JBO12" s="513"/>
      <c r="JBP12" s="513"/>
      <c r="JBQ12" s="513"/>
      <c r="JBR12" s="513"/>
      <c r="JBS12" s="513"/>
      <c r="JBT12" s="513"/>
      <c r="JBU12" s="513"/>
      <c r="JBV12" s="513"/>
      <c r="JBW12" s="513"/>
      <c r="JBX12" s="513"/>
      <c r="JBY12" s="513"/>
      <c r="JBZ12" s="513"/>
      <c r="JCA12" s="513"/>
      <c r="JCB12" s="513"/>
      <c r="JCC12" s="513"/>
      <c r="JCD12" s="513"/>
      <c r="JCE12" s="513"/>
      <c r="JCF12" s="513"/>
      <c r="JCG12" s="513"/>
      <c r="JCH12" s="513"/>
      <c r="JCI12" s="513"/>
      <c r="JCJ12" s="513"/>
      <c r="JCK12" s="513"/>
      <c r="JCL12" s="513"/>
      <c r="JCM12" s="513"/>
      <c r="JCN12" s="513"/>
      <c r="JCO12" s="513"/>
      <c r="JCP12" s="513"/>
      <c r="JCQ12" s="513"/>
      <c r="JCR12" s="513"/>
      <c r="JCS12" s="513"/>
      <c r="JCT12" s="513"/>
      <c r="JCU12" s="513"/>
      <c r="JCV12" s="513"/>
      <c r="JCW12" s="513"/>
      <c r="JCX12" s="513"/>
      <c r="JCY12" s="513"/>
      <c r="JCZ12" s="513"/>
      <c r="JDA12" s="513"/>
      <c r="JDB12" s="513"/>
      <c r="JDC12" s="513"/>
      <c r="JDD12" s="513"/>
      <c r="JDE12" s="513"/>
      <c r="JDF12" s="513"/>
      <c r="JDG12" s="513"/>
      <c r="JDH12" s="513"/>
      <c r="JDI12" s="513"/>
      <c r="JDJ12" s="513"/>
      <c r="JDK12" s="513"/>
      <c r="JDL12" s="513"/>
      <c r="JDM12" s="513"/>
      <c r="JDN12" s="513"/>
      <c r="JDO12" s="513"/>
      <c r="JDP12" s="513"/>
      <c r="JDQ12" s="513"/>
      <c r="JDR12" s="513"/>
      <c r="JDS12" s="513"/>
      <c r="JDT12" s="513"/>
      <c r="JDU12" s="513"/>
      <c r="JDV12" s="513"/>
      <c r="JDW12" s="513"/>
      <c r="JDX12" s="513"/>
      <c r="JDY12" s="513"/>
      <c r="JDZ12" s="513"/>
      <c r="JEA12" s="513"/>
      <c r="JEB12" s="513"/>
      <c r="JEC12" s="513"/>
      <c r="JED12" s="513"/>
      <c r="JEE12" s="513"/>
      <c r="JEF12" s="513"/>
      <c r="JEG12" s="513"/>
      <c r="JEH12" s="513"/>
      <c r="JEI12" s="513"/>
      <c r="JEJ12" s="513"/>
      <c r="JEK12" s="513"/>
      <c r="JEL12" s="513"/>
      <c r="JEM12" s="513"/>
      <c r="JEN12" s="513"/>
      <c r="JEO12" s="513"/>
      <c r="JEP12" s="513"/>
      <c r="JEQ12" s="513"/>
      <c r="JER12" s="513"/>
      <c r="JES12" s="513"/>
      <c r="JET12" s="513"/>
      <c r="JEU12" s="513"/>
      <c r="JEV12" s="513"/>
      <c r="JEW12" s="513"/>
      <c r="JEX12" s="513"/>
      <c r="JEY12" s="513"/>
      <c r="JEZ12" s="513"/>
      <c r="JFA12" s="513"/>
      <c r="JFB12" s="513"/>
      <c r="JFC12" s="513"/>
      <c r="JFD12" s="513"/>
      <c r="JFE12" s="513"/>
      <c r="JFF12" s="513"/>
      <c r="JFG12" s="513"/>
      <c r="JFH12" s="513"/>
      <c r="JFI12" s="513"/>
      <c r="JFJ12" s="513"/>
      <c r="JFK12" s="513"/>
      <c r="JFL12" s="513"/>
      <c r="JFM12" s="513"/>
      <c r="JFN12" s="513"/>
      <c r="JFO12" s="513"/>
      <c r="JFP12" s="513"/>
      <c r="JFQ12" s="513"/>
      <c r="JFR12" s="513"/>
      <c r="JFS12" s="513"/>
      <c r="JFT12" s="513"/>
      <c r="JFU12" s="513"/>
      <c r="JFV12" s="513"/>
      <c r="JFW12" s="513"/>
      <c r="JFX12" s="513"/>
      <c r="JFY12" s="513"/>
      <c r="JFZ12" s="513"/>
      <c r="JGA12" s="513"/>
      <c r="JGB12" s="513"/>
      <c r="JGC12" s="513"/>
      <c r="JGD12" s="513"/>
      <c r="JGE12" s="513"/>
      <c r="JGF12" s="513"/>
      <c r="JGG12" s="513"/>
      <c r="JGH12" s="513"/>
      <c r="JGI12" s="513"/>
      <c r="JGJ12" s="513"/>
      <c r="JGK12" s="513"/>
      <c r="JGL12" s="513"/>
      <c r="JGM12" s="513"/>
      <c r="JGN12" s="513"/>
      <c r="JGO12" s="513"/>
      <c r="JGP12" s="513"/>
      <c r="JGQ12" s="513"/>
      <c r="JGR12" s="513"/>
      <c r="JGS12" s="513"/>
      <c r="JGT12" s="513"/>
      <c r="JGU12" s="513"/>
      <c r="JGV12" s="513"/>
      <c r="JGW12" s="513"/>
      <c r="JGX12" s="513"/>
      <c r="JGY12" s="513"/>
      <c r="JGZ12" s="513"/>
      <c r="JHA12" s="513"/>
      <c r="JHB12" s="513"/>
      <c r="JHC12" s="513"/>
      <c r="JHD12" s="513"/>
      <c r="JHE12" s="513"/>
      <c r="JHF12" s="513"/>
      <c r="JHG12" s="513"/>
      <c r="JHH12" s="513"/>
      <c r="JHI12" s="513"/>
      <c r="JHJ12" s="513"/>
      <c r="JHK12" s="513"/>
      <c r="JHL12" s="513"/>
      <c r="JHM12" s="513"/>
      <c r="JHN12" s="513"/>
      <c r="JHO12" s="513"/>
      <c r="JHP12" s="513"/>
      <c r="JHQ12" s="513"/>
      <c r="JHR12" s="513"/>
      <c r="JHS12" s="513"/>
      <c r="JHT12" s="513"/>
      <c r="JHU12" s="513"/>
      <c r="JHV12" s="513"/>
      <c r="JHW12" s="513"/>
      <c r="JHX12" s="513"/>
      <c r="JHY12" s="513"/>
      <c r="JHZ12" s="513"/>
      <c r="JIA12" s="513"/>
      <c r="JIB12" s="513"/>
      <c r="JIC12" s="513"/>
      <c r="JID12" s="513"/>
      <c r="JIE12" s="513"/>
      <c r="JIF12" s="513"/>
      <c r="JIG12" s="513"/>
      <c r="JIH12" s="513"/>
      <c r="JII12" s="513"/>
      <c r="JIJ12" s="513"/>
      <c r="JIK12" s="513"/>
      <c r="JIL12" s="513"/>
      <c r="JIM12" s="513"/>
      <c r="JIN12" s="513"/>
      <c r="JIO12" s="513"/>
      <c r="JIP12" s="513"/>
      <c r="JIQ12" s="513"/>
      <c r="JIR12" s="513"/>
      <c r="JIS12" s="513"/>
      <c r="JIT12" s="513"/>
      <c r="JIU12" s="513"/>
      <c r="JIV12" s="513"/>
      <c r="JIW12" s="513"/>
      <c r="JIX12" s="513"/>
      <c r="JIY12" s="513"/>
      <c r="JIZ12" s="513"/>
      <c r="JJA12" s="513"/>
      <c r="JJB12" s="513"/>
      <c r="JJC12" s="513"/>
      <c r="JJD12" s="513"/>
      <c r="JJE12" s="513"/>
      <c r="JJF12" s="513"/>
      <c r="JJG12" s="513"/>
      <c r="JJH12" s="513"/>
      <c r="JJI12" s="513"/>
      <c r="JJJ12" s="513"/>
      <c r="JJK12" s="513"/>
      <c r="JJL12" s="513"/>
      <c r="JJM12" s="513"/>
      <c r="JJN12" s="513"/>
      <c r="JJO12" s="513"/>
      <c r="JJP12" s="513"/>
      <c r="JJQ12" s="513"/>
      <c r="JJR12" s="513"/>
      <c r="JJS12" s="513"/>
      <c r="JJT12" s="513"/>
      <c r="JJU12" s="513"/>
      <c r="JJV12" s="513"/>
      <c r="JJW12" s="513"/>
      <c r="JJX12" s="513"/>
      <c r="JJY12" s="513"/>
      <c r="JJZ12" s="513"/>
      <c r="JKA12" s="513"/>
      <c r="JKB12" s="513"/>
      <c r="JKC12" s="513"/>
      <c r="JKD12" s="513"/>
      <c r="JKE12" s="513"/>
      <c r="JKF12" s="513"/>
      <c r="JKG12" s="513"/>
      <c r="JKH12" s="513"/>
      <c r="JKI12" s="513"/>
      <c r="JKJ12" s="513"/>
      <c r="JKK12" s="513"/>
      <c r="JKL12" s="513"/>
      <c r="JKM12" s="513"/>
      <c r="JKN12" s="513"/>
      <c r="JKO12" s="513"/>
      <c r="JKP12" s="513"/>
      <c r="JKQ12" s="513"/>
      <c r="JKR12" s="513"/>
      <c r="JKS12" s="513"/>
      <c r="JKT12" s="513"/>
      <c r="JKU12" s="513"/>
      <c r="JKV12" s="513"/>
      <c r="JKW12" s="513"/>
      <c r="JKX12" s="513"/>
      <c r="JKY12" s="513"/>
      <c r="JKZ12" s="513"/>
      <c r="JLA12" s="513"/>
      <c r="JLB12" s="513"/>
      <c r="JLC12" s="513"/>
      <c r="JLD12" s="513"/>
      <c r="JLE12" s="513"/>
      <c r="JLF12" s="513"/>
      <c r="JLG12" s="513"/>
      <c r="JLH12" s="513"/>
      <c r="JLI12" s="513"/>
      <c r="JLJ12" s="513"/>
      <c r="JLK12" s="513"/>
      <c r="JLL12" s="513"/>
      <c r="JLM12" s="513"/>
      <c r="JLN12" s="513"/>
      <c r="JLO12" s="513"/>
      <c r="JLP12" s="513"/>
      <c r="JLQ12" s="513"/>
      <c r="JLR12" s="513"/>
      <c r="JLS12" s="513"/>
      <c r="JLT12" s="513"/>
      <c r="JLU12" s="513"/>
      <c r="JLV12" s="513"/>
      <c r="JLW12" s="513"/>
      <c r="JLX12" s="513"/>
      <c r="JLY12" s="513"/>
      <c r="JLZ12" s="513"/>
      <c r="JMA12" s="513"/>
      <c r="JMB12" s="513"/>
      <c r="JMC12" s="513"/>
      <c r="JMD12" s="513"/>
      <c r="JME12" s="513"/>
      <c r="JMF12" s="513"/>
      <c r="JMG12" s="513"/>
      <c r="JMH12" s="513"/>
      <c r="JMI12" s="513"/>
      <c r="JMJ12" s="513"/>
      <c r="JMK12" s="513"/>
      <c r="JML12" s="513"/>
      <c r="JMM12" s="513"/>
      <c r="JMN12" s="513"/>
      <c r="JMO12" s="513"/>
      <c r="JMP12" s="513"/>
      <c r="JMQ12" s="513"/>
      <c r="JMR12" s="513"/>
      <c r="JMS12" s="513"/>
      <c r="JMT12" s="513"/>
      <c r="JMU12" s="513"/>
      <c r="JMV12" s="513"/>
      <c r="JMW12" s="513"/>
      <c r="JMX12" s="513"/>
      <c r="JMY12" s="513"/>
      <c r="JMZ12" s="513"/>
      <c r="JNA12" s="513"/>
      <c r="JNB12" s="513"/>
      <c r="JNC12" s="513"/>
      <c r="JND12" s="513"/>
      <c r="JNE12" s="513"/>
      <c r="JNF12" s="513"/>
      <c r="JNG12" s="513"/>
      <c r="JNH12" s="513"/>
      <c r="JNI12" s="513"/>
      <c r="JNJ12" s="513"/>
      <c r="JNK12" s="513"/>
      <c r="JNL12" s="513"/>
      <c r="JNM12" s="513"/>
      <c r="JNN12" s="513"/>
      <c r="JNO12" s="513"/>
      <c r="JNP12" s="513"/>
      <c r="JNQ12" s="513"/>
      <c r="JNR12" s="513"/>
      <c r="JNS12" s="513"/>
      <c r="JNT12" s="513"/>
      <c r="JNU12" s="513"/>
      <c r="JNV12" s="513"/>
      <c r="JNW12" s="513"/>
      <c r="JNX12" s="513"/>
      <c r="JNY12" s="513"/>
      <c r="JNZ12" s="513"/>
      <c r="JOA12" s="513"/>
      <c r="JOB12" s="513"/>
      <c r="JOC12" s="513"/>
      <c r="JOD12" s="513"/>
      <c r="JOE12" s="513"/>
      <c r="JOF12" s="513"/>
      <c r="JOG12" s="513"/>
      <c r="JOH12" s="513"/>
      <c r="JOI12" s="513"/>
      <c r="JOJ12" s="513"/>
      <c r="JOK12" s="513"/>
      <c r="JOL12" s="513"/>
      <c r="JOM12" s="513"/>
      <c r="JON12" s="513"/>
      <c r="JOO12" s="513"/>
      <c r="JOP12" s="513"/>
      <c r="JOQ12" s="513"/>
      <c r="JOR12" s="513"/>
      <c r="JOS12" s="513"/>
      <c r="JOT12" s="513"/>
      <c r="JOU12" s="513"/>
      <c r="JOV12" s="513"/>
      <c r="JOW12" s="513"/>
      <c r="JOX12" s="513"/>
      <c r="JOY12" s="513"/>
      <c r="JOZ12" s="513"/>
      <c r="JPA12" s="513"/>
      <c r="JPB12" s="513"/>
      <c r="JPC12" s="513"/>
      <c r="JPD12" s="513"/>
      <c r="JPE12" s="513"/>
      <c r="JPF12" s="513"/>
      <c r="JPG12" s="513"/>
      <c r="JPH12" s="513"/>
      <c r="JPI12" s="513"/>
      <c r="JPJ12" s="513"/>
      <c r="JPK12" s="513"/>
      <c r="JPL12" s="513"/>
      <c r="JPM12" s="513"/>
      <c r="JPN12" s="513"/>
      <c r="JPO12" s="513"/>
      <c r="JPP12" s="513"/>
      <c r="JPQ12" s="513"/>
      <c r="JPR12" s="513"/>
      <c r="JPS12" s="513"/>
      <c r="JPT12" s="513"/>
      <c r="JPU12" s="513"/>
      <c r="JPV12" s="513"/>
      <c r="JPW12" s="513"/>
      <c r="JPX12" s="513"/>
      <c r="JPY12" s="513"/>
      <c r="JPZ12" s="513"/>
      <c r="JQA12" s="513"/>
      <c r="JQB12" s="513"/>
      <c r="JQC12" s="513"/>
      <c r="JQD12" s="513"/>
      <c r="JQE12" s="513"/>
      <c r="JQF12" s="513"/>
      <c r="JQG12" s="513"/>
      <c r="JQH12" s="513"/>
      <c r="JQI12" s="513"/>
      <c r="JQJ12" s="513"/>
      <c r="JQK12" s="513"/>
      <c r="JQL12" s="513"/>
      <c r="JQM12" s="513"/>
      <c r="JQN12" s="513"/>
      <c r="JQO12" s="513"/>
      <c r="JQP12" s="513"/>
      <c r="JQQ12" s="513"/>
      <c r="JQR12" s="513"/>
      <c r="JQS12" s="513"/>
      <c r="JQT12" s="513"/>
      <c r="JQU12" s="513"/>
      <c r="JQV12" s="513"/>
      <c r="JQW12" s="513"/>
      <c r="JQX12" s="513"/>
      <c r="JQY12" s="513"/>
      <c r="JQZ12" s="513"/>
      <c r="JRA12" s="513"/>
      <c r="JRB12" s="513"/>
      <c r="JRC12" s="513"/>
      <c r="JRD12" s="513"/>
      <c r="JRE12" s="513"/>
      <c r="JRF12" s="513"/>
      <c r="JRG12" s="513"/>
      <c r="JRH12" s="513"/>
      <c r="JRI12" s="513"/>
      <c r="JRJ12" s="513"/>
      <c r="JRK12" s="513"/>
      <c r="JRL12" s="513"/>
      <c r="JRM12" s="513"/>
      <c r="JRN12" s="513"/>
      <c r="JRO12" s="513"/>
      <c r="JRP12" s="513"/>
      <c r="JRQ12" s="513"/>
      <c r="JRR12" s="513"/>
      <c r="JRS12" s="513"/>
      <c r="JRT12" s="513"/>
      <c r="JRU12" s="513"/>
      <c r="JRV12" s="513"/>
      <c r="JRW12" s="513"/>
      <c r="JRX12" s="513"/>
      <c r="JRY12" s="513"/>
      <c r="JRZ12" s="513"/>
      <c r="JSA12" s="513"/>
      <c r="JSB12" s="513"/>
      <c r="JSC12" s="513"/>
      <c r="JSD12" s="513"/>
      <c r="JSE12" s="513"/>
      <c r="JSF12" s="513"/>
      <c r="JSG12" s="513"/>
      <c r="JSH12" s="513"/>
      <c r="JSI12" s="513"/>
      <c r="JSJ12" s="513"/>
      <c r="JSK12" s="513"/>
      <c r="JSL12" s="513"/>
      <c r="JSM12" s="513"/>
      <c r="JSN12" s="513"/>
      <c r="JSO12" s="513"/>
      <c r="JSP12" s="513"/>
      <c r="JSQ12" s="513"/>
      <c r="JSR12" s="513"/>
      <c r="JSS12" s="513"/>
      <c r="JST12" s="513"/>
      <c r="JSU12" s="513"/>
      <c r="JSV12" s="513"/>
      <c r="JSW12" s="513"/>
      <c r="JSX12" s="513"/>
      <c r="JSY12" s="513"/>
      <c r="JSZ12" s="513"/>
      <c r="JTA12" s="513"/>
      <c r="JTB12" s="513"/>
      <c r="JTC12" s="513"/>
      <c r="JTD12" s="513"/>
      <c r="JTE12" s="513"/>
      <c r="JTF12" s="513"/>
      <c r="JTG12" s="513"/>
      <c r="JTH12" s="513"/>
      <c r="JTI12" s="513"/>
      <c r="JTJ12" s="513"/>
      <c r="JTK12" s="513"/>
      <c r="JTL12" s="513"/>
      <c r="JTM12" s="513"/>
      <c r="JTN12" s="513"/>
      <c r="JTO12" s="513"/>
      <c r="JTP12" s="513"/>
      <c r="JTQ12" s="513"/>
      <c r="JTR12" s="513"/>
      <c r="JTS12" s="513"/>
      <c r="JTT12" s="513"/>
      <c r="JTU12" s="513"/>
      <c r="JTV12" s="513"/>
      <c r="JTW12" s="513"/>
      <c r="JTX12" s="513"/>
      <c r="JTY12" s="513"/>
      <c r="JTZ12" s="513"/>
      <c r="JUA12" s="513"/>
      <c r="JUB12" s="513"/>
      <c r="JUC12" s="513"/>
      <c r="JUD12" s="513"/>
      <c r="JUE12" s="513"/>
      <c r="JUF12" s="513"/>
      <c r="JUG12" s="513"/>
      <c r="JUH12" s="513"/>
      <c r="JUI12" s="513"/>
      <c r="JUJ12" s="513"/>
      <c r="JUK12" s="513"/>
      <c r="JUL12" s="513"/>
      <c r="JUM12" s="513"/>
      <c r="JUN12" s="513"/>
      <c r="JUO12" s="513"/>
      <c r="JUP12" s="513"/>
      <c r="JUQ12" s="513"/>
      <c r="JUR12" s="513"/>
      <c r="JUS12" s="513"/>
      <c r="JUT12" s="513"/>
      <c r="JUU12" s="513"/>
      <c r="JUV12" s="513"/>
      <c r="JUW12" s="513"/>
      <c r="JUX12" s="513"/>
      <c r="JUY12" s="513"/>
      <c r="JUZ12" s="513"/>
      <c r="JVA12" s="513"/>
      <c r="JVB12" s="513"/>
      <c r="JVC12" s="513"/>
      <c r="JVD12" s="513"/>
      <c r="JVE12" s="513"/>
      <c r="JVF12" s="513"/>
      <c r="JVG12" s="513"/>
      <c r="JVH12" s="513"/>
      <c r="JVI12" s="513"/>
      <c r="JVJ12" s="513"/>
      <c r="JVK12" s="513"/>
      <c r="JVL12" s="513"/>
      <c r="JVM12" s="513"/>
      <c r="JVN12" s="513"/>
      <c r="JVO12" s="513"/>
      <c r="JVP12" s="513"/>
      <c r="JVQ12" s="513"/>
      <c r="JVR12" s="513"/>
      <c r="JVS12" s="513"/>
      <c r="JVT12" s="513"/>
      <c r="JVU12" s="513"/>
      <c r="JVV12" s="513"/>
      <c r="JVW12" s="513"/>
      <c r="JVX12" s="513"/>
      <c r="JVY12" s="513"/>
      <c r="JVZ12" s="513"/>
      <c r="JWA12" s="513"/>
      <c r="JWB12" s="513"/>
      <c r="JWC12" s="513"/>
      <c r="JWD12" s="513"/>
      <c r="JWE12" s="513"/>
      <c r="JWF12" s="513"/>
      <c r="JWG12" s="513"/>
      <c r="JWH12" s="513"/>
      <c r="JWI12" s="513"/>
      <c r="JWJ12" s="513"/>
      <c r="JWK12" s="513"/>
      <c r="JWL12" s="513"/>
      <c r="JWM12" s="513"/>
      <c r="JWN12" s="513"/>
      <c r="JWO12" s="513"/>
      <c r="JWP12" s="513"/>
      <c r="JWQ12" s="513"/>
      <c r="JWR12" s="513"/>
      <c r="JWS12" s="513"/>
      <c r="JWT12" s="513"/>
      <c r="JWU12" s="513"/>
      <c r="JWV12" s="513"/>
      <c r="JWW12" s="513"/>
      <c r="JWX12" s="513"/>
      <c r="JWY12" s="513"/>
      <c r="JWZ12" s="513"/>
      <c r="JXA12" s="513"/>
      <c r="JXB12" s="513"/>
      <c r="JXC12" s="513"/>
      <c r="JXD12" s="513"/>
      <c r="JXE12" s="513"/>
      <c r="JXF12" s="513"/>
      <c r="JXG12" s="513"/>
      <c r="JXH12" s="513"/>
      <c r="JXI12" s="513"/>
      <c r="JXJ12" s="513"/>
      <c r="JXK12" s="513"/>
      <c r="JXL12" s="513"/>
      <c r="JXM12" s="513"/>
      <c r="JXN12" s="513"/>
      <c r="JXO12" s="513"/>
      <c r="JXP12" s="513"/>
      <c r="JXQ12" s="513"/>
      <c r="JXR12" s="513"/>
      <c r="JXS12" s="513"/>
      <c r="JXT12" s="513"/>
      <c r="JXU12" s="513"/>
      <c r="JXV12" s="513"/>
      <c r="JXW12" s="513"/>
      <c r="JXX12" s="513"/>
      <c r="JXY12" s="513"/>
      <c r="JXZ12" s="513"/>
      <c r="JYA12" s="513"/>
      <c r="JYB12" s="513"/>
      <c r="JYC12" s="513"/>
      <c r="JYD12" s="513"/>
      <c r="JYE12" s="513"/>
      <c r="JYF12" s="513"/>
      <c r="JYG12" s="513"/>
      <c r="JYH12" s="513"/>
      <c r="JYI12" s="513"/>
      <c r="JYJ12" s="513"/>
      <c r="JYK12" s="513"/>
      <c r="JYL12" s="513"/>
      <c r="JYM12" s="513"/>
      <c r="JYN12" s="513"/>
      <c r="JYO12" s="513"/>
      <c r="JYP12" s="513"/>
      <c r="JYQ12" s="513"/>
      <c r="JYR12" s="513"/>
      <c r="JYS12" s="513"/>
      <c r="JYT12" s="513"/>
      <c r="JYU12" s="513"/>
      <c r="JYV12" s="513"/>
      <c r="JYW12" s="513"/>
      <c r="JYX12" s="513"/>
      <c r="JYY12" s="513"/>
      <c r="JYZ12" s="513"/>
      <c r="JZA12" s="513"/>
      <c r="JZB12" s="513"/>
      <c r="JZC12" s="513"/>
      <c r="JZD12" s="513"/>
      <c r="JZE12" s="513"/>
      <c r="JZF12" s="513"/>
      <c r="JZG12" s="513"/>
      <c r="JZH12" s="513"/>
      <c r="JZI12" s="513"/>
      <c r="JZJ12" s="513"/>
      <c r="JZK12" s="513"/>
      <c r="JZL12" s="513"/>
      <c r="JZM12" s="513"/>
      <c r="JZN12" s="513"/>
      <c r="JZO12" s="513"/>
      <c r="JZP12" s="513"/>
      <c r="JZQ12" s="513"/>
      <c r="JZR12" s="513"/>
      <c r="JZS12" s="513"/>
      <c r="JZT12" s="513"/>
      <c r="JZU12" s="513"/>
      <c r="JZV12" s="513"/>
      <c r="JZW12" s="513"/>
      <c r="JZX12" s="513"/>
      <c r="JZY12" s="513"/>
      <c r="JZZ12" s="513"/>
      <c r="KAA12" s="513"/>
      <c r="KAB12" s="513"/>
      <c r="KAC12" s="513"/>
      <c r="KAD12" s="513"/>
      <c r="KAE12" s="513"/>
      <c r="KAF12" s="513"/>
      <c r="KAG12" s="513"/>
      <c r="KAH12" s="513"/>
      <c r="KAI12" s="513"/>
      <c r="KAJ12" s="513"/>
      <c r="KAK12" s="513"/>
      <c r="KAL12" s="513"/>
      <c r="KAM12" s="513"/>
      <c r="KAN12" s="513"/>
      <c r="KAO12" s="513"/>
      <c r="KAP12" s="513"/>
      <c r="KAQ12" s="513"/>
      <c r="KAR12" s="513"/>
      <c r="KAS12" s="513"/>
      <c r="KAT12" s="513"/>
      <c r="KAU12" s="513"/>
      <c r="KAV12" s="513"/>
      <c r="KAW12" s="513"/>
      <c r="KAX12" s="513"/>
      <c r="KAY12" s="513"/>
      <c r="KAZ12" s="513"/>
      <c r="KBA12" s="513"/>
      <c r="KBB12" s="513"/>
      <c r="KBC12" s="513"/>
      <c r="KBD12" s="513"/>
      <c r="KBE12" s="513"/>
      <c r="KBF12" s="513"/>
      <c r="KBG12" s="513"/>
      <c r="KBH12" s="513"/>
      <c r="KBI12" s="513"/>
      <c r="KBJ12" s="513"/>
      <c r="KBK12" s="513"/>
      <c r="KBL12" s="513"/>
      <c r="KBM12" s="513"/>
      <c r="KBN12" s="513"/>
      <c r="KBO12" s="513"/>
      <c r="KBP12" s="513"/>
      <c r="KBQ12" s="513"/>
      <c r="KBR12" s="513"/>
      <c r="KBS12" s="513"/>
      <c r="KBT12" s="513"/>
      <c r="KBU12" s="513"/>
      <c r="KBV12" s="513"/>
      <c r="KBW12" s="513"/>
      <c r="KBX12" s="513"/>
      <c r="KBY12" s="513"/>
      <c r="KBZ12" s="513"/>
      <c r="KCA12" s="513"/>
      <c r="KCB12" s="513"/>
      <c r="KCC12" s="513"/>
      <c r="KCD12" s="513"/>
      <c r="KCE12" s="513"/>
      <c r="KCF12" s="513"/>
      <c r="KCG12" s="513"/>
      <c r="KCH12" s="513"/>
      <c r="KCI12" s="513"/>
      <c r="KCJ12" s="513"/>
      <c r="KCK12" s="513"/>
      <c r="KCL12" s="513"/>
      <c r="KCM12" s="513"/>
      <c r="KCN12" s="513"/>
      <c r="KCO12" s="513"/>
      <c r="KCP12" s="513"/>
      <c r="KCQ12" s="513"/>
      <c r="KCR12" s="513"/>
      <c r="KCS12" s="513"/>
      <c r="KCT12" s="513"/>
      <c r="KCU12" s="513"/>
      <c r="KCV12" s="513"/>
      <c r="KCW12" s="513"/>
      <c r="KCX12" s="513"/>
      <c r="KCY12" s="513"/>
      <c r="KCZ12" s="513"/>
      <c r="KDA12" s="513"/>
      <c r="KDB12" s="513"/>
      <c r="KDC12" s="513"/>
      <c r="KDD12" s="513"/>
      <c r="KDE12" s="513"/>
      <c r="KDF12" s="513"/>
      <c r="KDG12" s="513"/>
      <c r="KDH12" s="513"/>
      <c r="KDI12" s="513"/>
      <c r="KDJ12" s="513"/>
      <c r="KDK12" s="513"/>
      <c r="KDL12" s="513"/>
      <c r="KDM12" s="513"/>
      <c r="KDN12" s="513"/>
      <c r="KDO12" s="513"/>
      <c r="KDP12" s="513"/>
      <c r="KDQ12" s="513"/>
      <c r="KDR12" s="513"/>
      <c r="KDS12" s="513"/>
      <c r="KDT12" s="513"/>
      <c r="KDU12" s="513"/>
      <c r="KDV12" s="513"/>
      <c r="KDW12" s="513"/>
      <c r="KDX12" s="513"/>
      <c r="KDY12" s="513"/>
      <c r="KDZ12" s="513"/>
      <c r="KEA12" s="513"/>
      <c r="KEB12" s="513"/>
      <c r="KEC12" s="513"/>
      <c r="KED12" s="513"/>
      <c r="KEE12" s="513"/>
      <c r="KEF12" s="513"/>
      <c r="KEG12" s="513"/>
      <c r="KEH12" s="513"/>
      <c r="KEI12" s="513"/>
      <c r="KEJ12" s="513"/>
      <c r="KEK12" s="513"/>
      <c r="KEL12" s="513"/>
      <c r="KEM12" s="513"/>
      <c r="KEN12" s="513"/>
      <c r="KEO12" s="513"/>
      <c r="KEP12" s="513"/>
      <c r="KEQ12" s="513"/>
      <c r="KER12" s="513"/>
      <c r="KES12" s="513"/>
      <c r="KET12" s="513"/>
      <c r="KEU12" s="513"/>
      <c r="KEV12" s="513"/>
      <c r="KEW12" s="513"/>
      <c r="KEX12" s="513"/>
      <c r="KEY12" s="513"/>
      <c r="KEZ12" s="513"/>
      <c r="KFA12" s="513"/>
      <c r="KFB12" s="513"/>
      <c r="KFC12" s="513"/>
      <c r="KFD12" s="513"/>
      <c r="KFE12" s="513"/>
      <c r="KFF12" s="513"/>
      <c r="KFG12" s="513"/>
      <c r="KFH12" s="513"/>
      <c r="KFI12" s="513"/>
      <c r="KFJ12" s="513"/>
      <c r="KFK12" s="513"/>
      <c r="KFL12" s="513"/>
      <c r="KFM12" s="513"/>
      <c r="KFN12" s="513"/>
      <c r="KFO12" s="513"/>
      <c r="KFP12" s="513"/>
      <c r="KFQ12" s="513"/>
      <c r="KFR12" s="513"/>
      <c r="KFS12" s="513"/>
      <c r="KFT12" s="513"/>
      <c r="KFU12" s="513"/>
      <c r="KFV12" s="513"/>
      <c r="KFW12" s="513"/>
      <c r="KFX12" s="513"/>
      <c r="KFY12" s="513"/>
      <c r="KFZ12" s="513"/>
      <c r="KGA12" s="513"/>
      <c r="KGB12" s="513"/>
      <c r="KGC12" s="513"/>
      <c r="KGD12" s="513"/>
      <c r="KGE12" s="513"/>
      <c r="KGF12" s="513"/>
      <c r="KGG12" s="513"/>
      <c r="KGH12" s="513"/>
      <c r="KGI12" s="513"/>
      <c r="KGJ12" s="513"/>
      <c r="KGK12" s="513"/>
      <c r="KGL12" s="513"/>
      <c r="KGM12" s="513"/>
      <c r="KGN12" s="513"/>
      <c r="KGO12" s="513"/>
      <c r="KGP12" s="513"/>
      <c r="KGQ12" s="513"/>
      <c r="KGR12" s="513"/>
      <c r="KGS12" s="513"/>
      <c r="KGT12" s="513"/>
      <c r="KGU12" s="513"/>
      <c r="KGV12" s="513"/>
      <c r="KGW12" s="513"/>
      <c r="KGX12" s="513"/>
      <c r="KGY12" s="513"/>
      <c r="KGZ12" s="513"/>
      <c r="KHA12" s="513"/>
      <c r="KHB12" s="513"/>
      <c r="KHC12" s="513"/>
      <c r="KHD12" s="513"/>
      <c r="KHE12" s="513"/>
      <c r="KHF12" s="513"/>
      <c r="KHG12" s="513"/>
      <c r="KHH12" s="513"/>
      <c r="KHI12" s="513"/>
      <c r="KHJ12" s="513"/>
      <c r="KHK12" s="513"/>
      <c r="KHL12" s="513"/>
      <c r="KHM12" s="513"/>
      <c r="KHN12" s="513"/>
      <c r="KHO12" s="513"/>
      <c r="KHP12" s="513"/>
      <c r="KHQ12" s="513"/>
      <c r="KHR12" s="513"/>
      <c r="KHS12" s="513"/>
      <c r="KHT12" s="513"/>
      <c r="KHU12" s="513"/>
      <c r="KHV12" s="513"/>
      <c r="KHW12" s="513"/>
      <c r="KHX12" s="513"/>
      <c r="KHY12" s="513"/>
      <c r="KHZ12" s="513"/>
      <c r="KIA12" s="513"/>
      <c r="KIB12" s="513"/>
      <c r="KIC12" s="513"/>
      <c r="KID12" s="513"/>
      <c r="KIE12" s="513"/>
      <c r="KIF12" s="513"/>
      <c r="KIG12" s="513"/>
      <c r="KIH12" s="513"/>
      <c r="KII12" s="513"/>
      <c r="KIJ12" s="513"/>
      <c r="KIK12" s="513"/>
      <c r="KIL12" s="513"/>
      <c r="KIM12" s="513"/>
      <c r="KIN12" s="513"/>
      <c r="KIO12" s="513"/>
      <c r="KIP12" s="513"/>
      <c r="KIQ12" s="513"/>
      <c r="KIR12" s="513"/>
      <c r="KIS12" s="513"/>
      <c r="KIT12" s="513"/>
      <c r="KIU12" s="513"/>
      <c r="KIV12" s="513"/>
      <c r="KIW12" s="513"/>
      <c r="KIX12" s="513"/>
      <c r="KIY12" s="513"/>
      <c r="KIZ12" s="513"/>
      <c r="KJA12" s="513"/>
      <c r="KJB12" s="513"/>
      <c r="KJC12" s="513"/>
      <c r="KJD12" s="513"/>
      <c r="KJE12" s="513"/>
      <c r="KJF12" s="513"/>
      <c r="KJG12" s="513"/>
      <c r="KJH12" s="513"/>
      <c r="KJI12" s="513"/>
      <c r="KJJ12" s="513"/>
      <c r="KJK12" s="513"/>
      <c r="KJL12" s="513"/>
      <c r="KJM12" s="513"/>
      <c r="KJN12" s="513"/>
      <c r="KJO12" s="513"/>
      <c r="KJP12" s="513"/>
      <c r="KJQ12" s="513"/>
      <c r="KJR12" s="513"/>
      <c r="KJS12" s="513"/>
      <c r="KJT12" s="513"/>
      <c r="KJU12" s="513"/>
      <c r="KJV12" s="513"/>
      <c r="KJW12" s="513"/>
      <c r="KJX12" s="513"/>
      <c r="KJY12" s="513"/>
      <c r="KJZ12" s="513"/>
      <c r="KKA12" s="513"/>
      <c r="KKB12" s="513"/>
      <c r="KKC12" s="513"/>
      <c r="KKD12" s="513"/>
      <c r="KKE12" s="513"/>
      <c r="KKF12" s="513"/>
      <c r="KKG12" s="513"/>
      <c r="KKH12" s="513"/>
      <c r="KKI12" s="513"/>
      <c r="KKJ12" s="513"/>
      <c r="KKK12" s="513"/>
      <c r="KKL12" s="513"/>
      <c r="KKM12" s="513"/>
      <c r="KKN12" s="513"/>
      <c r="KKO12" s="513"/>
      <c r="KKP12" s="513"/>
      <c r="KKQ12" s="513"/>
      <c r="KKR12" s="513"/>
      <c r="KKS12" s="513"/>
      <c r="KKT12" s="513"/>
      <c r="KKU12" s="513"/>
      <c r="KKV12" s="513"/>
      <c r="KKW12" s="513"/>
      <c r="KKX12" s="513"/>
      <c r="KKY12" s="513"/>
      <c r="KKZ12" s="513"/>
      <c r="KLA12" s="513"/>
      <c r="KLB12" s="513"/>
      <c r="KLC12" s="513"/>
      <c r="KLD12" s="513"/>
      <c r="KLE12" s="513"/>
      <c r="KLF12" s="513"/>
      <c r="KLG12" s="513"/>
      <c r="KLH12" s="513"/>
      <c r="KLI12" s="513"/>
      <c r="KLJ12" s="513"/>
      <c r="KLK12" s="513"/>
      <c r="KLL12" s="513"/>
      <c r="KLM12" s="513"/>
      <c r="KLN12" s="513"/>
      <c r="KLO12" s="513"/>
      <c r="KLP12" s="513"/>
      <c r="KLQ12" s="513"/>
      <c r="KLR12" s="513"/>
      <c r="KLS12" s="513"/>
      <c r="KLT12" s="513"/>
      <c r="KLU12" s="513"/>
      <c r="KLV12" s="513"/>
      <c r="KLW12" s="513"/>
      <c r="KLX12" s="513"/>
      <c r="KLY12" s="513"/>
      <c r="KLZ12" s="513"/>
      <c r="KMA12" s="513"/>
      <c r="KMB12" s="513"/>
      <c r="KMC12" s="513"/>
      <c r="KMD12" s="513"/>
      <c r="KME12" s="513"/>
      <c r="KMF12" s="513"/>
      <c r="KMG12" s="513"/>
      <c r="KMH12" s="513"/>
      <c r="KMI12" s="513"/>
      <c r="KMJ12" s="513"/>
      <c r="KMK12" s="513"/>
      <c r="KML12" s="513"/>
      <c r="KMM12" s="513"/>
      <c r="KMN12" s="513"/>
      <c r="KMO12" s="513"/>
      <c r="KMP12" s="513"/>
      <c r="KMQ12" s="513"/>
      <c r="KMR12" s="513"/>
      <c r="KMS12" s="513"/>
      <c r="KMT12" s="513"/>
      <c r="KMU12" s="513"/>
      <c r="KMV12" s="513"/>
      <c r="KMW12" s="513"/>
      <c r="KMX12" s="513"/>
      <c r="KMY12" s="513"/>
      <c r="KMZ12" s="513"/>
      <c r="KNA12" s="513"/>
      <c r="KNB12" s="513"/>
      <c r="KNC12" s="513"/>
      <c r="KND12" s="513"/>
      <c r="KNE12" s="513"/>
      <c r="KNF12" s="513"/>
      <c r="KNG12" s="513"/>
      <c r="KNH12" s="513"/>
      <c r="KNI12" s="513"/>
      <c r="KNJ12" s="513"/>
      <c r="KNK12" s="513"/>
      <c r="KNL12" s="513"/>
      <c r="KNM12" s="513"/>
      <c r="KNN12" s="513"/>
      <c r="KNO12" s="513"/>
      <c r="KNP12" s="513"/>
      <c r="KNQ12" s="513"/>
      <c r="KNR12" s="513"/>
      <c r="KNS12" s="513"/>
      <c r="KNT12" s="513"/>
      <c r="KNU12" s="513"/>
      <c r="KNV12" s="513"/>
      <c r="KNW12" s="513"/>
      <c r="KNX12" s="513"/>
      <c r="KNY12" s="513"/>
      <c r="KNZ12" s="513"/>
      <c r="KOA12" s="513"/>
      <c r="KOB12" s="513"/>
      <c r="KOC12" s="513"/>
      <c r="KOD12" s="513"/>
      <c r="KOE12" s="513"/>
      <c r="KOF12" s="513"/>
      <c r="KOG12" s="513"/>
      <c r="KOH12" s="513"/>
      <c r="KOI12" s="513"/>
      <c r="KOJ12" s="513"/>
      <c r="KOK12" s="513"/>
      <c r="KOL12" s="513"/>
      <c r="KOM12" s="513"/>
      <c r="KON12" s="513"/>
      <c r="KOO12" s="513"/>
      <c r="KOP12" s="513"/>
      <c r="KOQ12" s="513"/>
      <c r="KOR12" s="513"/>
      <c r="KOS12" s="513"/>
      <c r="KOT12" s="513"/>
      <c r="KOU12" s="513"/>
      <c r="KOV12" s="513"/>
      <c r="KOW12" s="513"/>
      <c r="KOX12" s="513"/>
      <c r="KOY12" s="513"/>
      <c r="KOZ12" s="513"/>
      <c r="KPA12" s="513"/>
      <c r="KPB12" s="513"/>
      <c r="KPC12" s="513"/>
      <c r="KPD12" s="513"/>
      <c r="KPE12" s="513"/>
      <c r="KPF12" s="513"/>
      <c r="KPG12" s="513"/>
      <c r="KPH12" s="513"/>
      <c r="KPI12" s="513"/>
      <c r="KPJ12" s="513"/>
      <c r="KPK12" s="513"/>
      <c r="KPL12" s="513"/>
      <c r="KPM12" s="513"/>
      <c r="KPN12" s="513"/>
      <c r="KPO12" s="513"/>
      <c r="KPP12" s="513"/>
      <c r="KPQ12" s="513"/>
      <c r="KPR12" s="513"/>
      <c r="KPS12" s="513"/>
      <c r="KPT12" s="513"/>
      <c r="KPU12" s="513"/>
      <c r="KPV12" s="513"/>
      <c r="KPW12" s="513"/>
      <c r="KPX12" s="513"/>
      <c r="KPY12" s="513"/>
      <c r="KPZ12" s="513"/>
      <c r="KQA12" s="513"/>
      <c r="KQB12" s="513"/>
      <c r="KQC12" s="513"/>
      <c r="KQD12" s="513"/>
      <c r="KQE12" s="513"/>
      <c r="KQF12" s="513"/>
      <c r="KQG12" s="513"/>
      <c r="KQH12" s="513"/>
      <c r="KQI12" s="513"/>
      <c r="KQJ12" s="513"/>
      <c r="KQK12" s="513"/>
      <c r="KQL12" s="513"/>
      <c r="KQM12" s="513"/>
      <c r="KQN12" s="513"/>
      <c r="KQO12" s="513"/>
      <c r="KQP12" s="513"/>
      <c r="KQQ12" s="513"/>
      <c r="KQR12" s="513"/>
      <c r="KQS12" s="513"/>
      <c r="KQT12" s="513"/>
      <c r="KQU12" s="513"/>
      <c r="KQV12" s="513"/>
      <c r="KQW12" s="513"/>
      <c r="KQX12" s="513"/>
      <c r="KQY12" s="513"/>
      <c r="KQZ12" s="513"/>
      <c r="KRA12" s="513"/>
      <c r="KRB12" s="513"/>
      <c r="KRC12" s="513"/>
      <c r="KRD12" s="513"/>
      <c r="KRE12" s="513"/>
      <c r="KRF12" s="513"/>
      <c r="KRG12" s="513"/>
      <c r="KRH12" s="513"/>
      <c r="KRI12" s="513"/>
      <c r="KRJ12" s="513"/>
      <c r="KRK12" s="513"/>
      <c r="KRL12" s="513"/>
      <c r="KRM12" s="513"/>
      <c r="KRN12" s="513"/>
      <c r="KRO12" s="513"/>
      <c r="KRP12" s="513"/>
      <c r="KRQ12" s="513"/>
      <c r="KRR12" s="513"/>
      <c r="KRS12" s="513"/>
      <c r="KRT12" s="513"/>
      <c r="KRU12" s="513"/>
      <c r="KRV12" s="513"/>
      <c r="KRW12" s="513"/>
      <c r="KRX12" s="513"/>
      <c r="KRY12" s="513"/>
      <c r="KRZ12" s="513"/>
      <c r="KSA12" s="513"/>
      <c r="KSB12" s="513"/>
      <c r="KSC12" s="513"/>
      <c r="KSD12" s="513"/>
      <c r="KSE12" s="513"/>
      <c r="KSF12" s="513"/>
      <c r="KSG12" s="513"/>
      <c r="KSH12" s="513"/>
      <c r="KSI12" s="513"/>
      <c r="KSJ12" s="513"/>
      <c r="KSK12" s="513"/>
      <c r="KSL12" s="513"/>
      <c r="KSM12" s="513"/>
      <c r="KSN12" s="513"/>
      <c r="KSO12" s="513"/>
      <c r="KSP12" s="513"/>
      <c r="KSQ12" s="513"/>
      <c r="KSR12" s="513"/>
      <c r="KSS12" s="513"/>
      <c r="KST12" s="513"/>
      <c r="KSU12" s="513"/>
      <c r="KSV12" s="513"/>
      <c r="KSW12" s="513"/>
      <c r="KSX12" s="513"/>
      <c r="KSY12" s="513"/>
      <c r="KSZ12" s="513"/>
      <c r="KTA12" s="513"/>
      <c r="KTB12" s="513"/>
      <c r="KTC12" s="513"/>
      <c r="KTD12" s="513"/>
      <c r="KTE12" s="513"/>
      <c r="KTF12" s="513"/>
      <c r="KTG12" s="513"/>
      <c r="KTH12" s="513"/>
      <c r="KTI12" s="513"/>
      <c r="KTJ12" s="513"/>
      <c r="KTK12" s="513"/>
      <c r="KTL12" s="513"/>
      <c r="KTM12" s="513"/>
      <c r="KTN12" s="513"/>
      <c r="KTO12" s="513"/>
      <c r="KTP12" s="513"/>
      <c r="KTQ12" s="513"/>
      <c r="KTR12" s="513"/>
      <c r="KTS12" s="513"/>
      <c r="KTT12" s="513"/>
      <c r="KTU12" s="513"/>
      <c r="KTV12" s="513"/>
      <c r="KTW12" s="513"/>
      <c r="KTX12" s="513"/>
      <c r="KTY12" s="513"/>
      <c r="KTZ12" s="513"/>
      <c r="KUA12" s="513"/>
      <c r="KUB12" s="513"/>
      <c r="KUC12" s="513"/>
      <c r="KUD12" s="513"/>
      <c r="KUE12" s="513"/>
      <c r="KUF12" s="513"/>
      <c r="KUG12" s="513"/>
      <c r="KUH12" s="513"/>
      <c r="KUI12" s="513"/>
      <c r="KUJ12" s="513"/>
      <c r="KUK12" s="513"/>
      <c r="KUL12" s="513"/>
      <c r="KUM12" s="513"/>
      <c r="KUN12" s="513"/>
      <c r="KUO12" s="513"/>
      <c r="KUP12" s="513"/>
      <c r="KUQ12" s="513"/>
      <c r="KUR12" s="513"/>
      <c r="KUS12" s="513"/>
      <c r="KUT12" s="513"/>
      <c r="KUU12" s="513"/>
      <c r="KUV12" s="513"/>
      <c r="KUW12" s="513"/>
      <c r="KUX12" s="513"/>
      <c r="KUY12" s="513"/>
      <c r="KUZ12" s="513"/>
      <c r="KVA12" s="513"/>
      <c r="KVB12" s="513"/>
      <c r="KVC12" s="513"/>
      <c r="KVD12" s="513"/>
      <c r="KVE12" s="513"/>
      <c r="KVF12" s="513"/>
      <c r="KVG12" s="513"/>
      <c r="KVH12" s="513"/>
      <c r="KVI12" s="513"/>
      <c r="KVJ12" s="513"/>
      <c r="KVK12" s="513"/>
      <c r="KVL12" s="513"/>
      <c r="KVM12" s="513"/>
      <c r="KVN12" s="513"/>
      <c r="KVO12" s="513"/>
      <c r="KVP12" s="513"/>
      <c r="KVQ12" s="513"/>
      <c r="KVR12" s="513"/>
      <c r="KVS12" s="513"/>
      <c r="KVT12" s="513"/>
      <c r="KVU12" s="513"/>
      <c r="KVV12" s="513"/>
      <c r="KVW12" s="513"/>
      <c r="KVX12" s="513"/>
      <c r="KVY12" s="513"/>
      <c r="KVZ12" s="513"/>
      <c r="KWA12" s="513"/>
      <c r="KWB12" s="513"/>
      <c r="KWC12" s="513"/>
      <c r="KWD12" s="513"/>
      <c r="KWE12" s="513"/>
      <c r="KWF12" s="513"/>
      <c r="KWG12" s="513"/>
      <c r="KWH12" s="513"/>
      <c r="KWI12" s="513"/>
      <c r="KWJ12" s="513"/>
      <c r="KWK12" s="513"/>
      <c r="KWL12" s="513"/>
      <c r="KWM12" s="513"/>
      <c r="KWN12" s="513"/>
      <c r="KWO12" s="513"/>
      <c r="KWP12" s="513"/>
      <c r="KWQ12" s="513"/>
      <c r="KWR12" s="513"/>
      <c r="KWS12" s="513"/>
      <c r="KWT12" s="513"/>
      <c r="KWU12" s="513"/>
      <c r="KWV12" s="513"/>
      <c r="KWW12" s="513"/>
      <c r="KWX12" s="513"/>
      <c r="KWY12" s="513"/>
      <c r="KWZ12" s="513"/>
      <c r="KXA12" s="513"/>
      <c r="KXB12" s="513"/>
      <c r="KXC12" s="513"/>
      <c r="KXD12" s="513"/>
      <c r="KXE12" s="513"/>
      <c r="KXF12" s="513"/>
      <c r="KXG12" s="513"/>
      <c r="KXH12" s="513"/>
      <c r="KXI12" s="513"/>
      <c r="KXJ12" s="513"/>
      <c r="KXK12" s="513"/>
      <c r="KXL12" s="513"/>
      <c r="KXM12" s="513"/>
      <c r="KXN12" s="513"/>
      <c r="KXO12" s="513"/>
      <c r="KXP12" s="513"/>
      <c r="KXQ12" s="513"/>
      <c r="KXR12" s="513"/>
      <c r="KXS12" s="513"/>
      <c r="KXT12" s="513"/>
      <c r="KXU12" s="513"/>
      <c r="KXV12" s="513"/>
      <c r="KXW12" s="513"/>
      <c r="KXX12" s="513"/>
      <c r="KXY12" s="513"/>
      <c r="KXZ12" s="513"/>
      <c r="KYA12" s="513"/>
      <c r="KYB12" s="513"/>
      <c r="KYC12" s="513"/>
      <c r="KYD12" s="513"/>
      <c r="KYE12" s="513"/>
      <c r="KYF12" s="513"/>
      <c r="KYG12" s="513"/>
      <c r="KYH12" s="513"/>
      <c r="KYI12" s="513"/>
      <c r="KYJ12" s="513"/>
      <c r="KYK12" s="513"/>
      <c r="KYL12" s="513"/>
      <c r="KYM12" s="513"/>
      <c r="KYN12" s="513"/>
      <c r="KYO12" s="513"/>
      <c r="KYP12" s="513"/>
      <c r="KYQ12" s="513"/>
      <c r="KYR12" s="513"/>
      <c r="KYS12" s="513"/>
      <c r="KYT12" s="513"/>
      <c r="KYU12" s="513"/>
      <c r="KYV12" s="513"/>
      <c r="KYW12" s="513"/>
      <c r="KYX12" s="513"/>
      <c r="KYY12" s="513"/>
      <c r="KYZ12" s="513"/>
      <c r="KZA12" s="513"/>
      <c r="KZB12" s="513"/>
      <c r="KZC12" s="513"/>
      <c r="KZD12" s="513"/>
      <c r="KZE12" s="513"/>
      <c r="KZF12" s="513"/>
      <c r="KZG12" s="513"/>
      <c r="KZH12" s="513"/>
      <c r="KZI12" s="513"/>
      <c r="KZJ12" s="513"/>
      <c r="KZK12" s="513"/>
      <c r="KZL12" s="513"/>
      <c r="KZM12" s="513"/>
      <c r="KZN12" s="513"/>
      <c r="KZO12" s="513"/>
      <c r="KZP12" s="513"/>
      <c r="KZQ12" s="513"/>
      <c r="KZR12" s="513"/>
      <c r="KZS12" s="513"/>
      <c r="KZT12" s="513"/>
      <c r="KZU12" s="513"/>
      <c r="KZV12" s="513"/>
      <c r="KZW12" s="513"/>
      <c r="KZX12" s="513"/>
      <c r="KZY12" s="513"/>
      <c r="KZZ12" s="513"/>
      <c r="LAA12" s="513"/>
      <c r="LAB12" s="513"/>
      <c r="LAC12" s="513"/>
      <c r="LAD12" s="513"/>
      <c r="LAE12" s="513"/>
      <c r="LAF12" s="513"/>
      <c r="LAG12" s="513"/>
      <c r="LAH12" s="513"/>
      <c r="LAI12" s="513"/>
      <c r="LAJ12" s="513"/>
      <c r="LAK12" s="513"/>
      <c r="LAL12" s="513"/>
      <c r="LAM12" s="513"/>
      <c r="LAN12" s="513"/>
      <c r="LAO12" s="513"/>
      <c r="LAP12" s="513"/>
      <c r="LAQ12" s="513"/>
      <c r="LAR12" s="513"/>
      <c r="LAS12" s="513"/>
      <c r="LAT12" s="513"/>
      <c r="LAU12" s="513"/>
      <c r="LAV12" s="513"/>
      <c r="LAW12" s="513"/>
      <c r="LAX12" s="513"/>
      <c r="LAY12" s="513"/>
      <c r="LAZ12" s="513"/>
      <c r="LBA12" s="513"/>
      <c r="LBB12" s="513"/>
      <c r="LBC12" s="513"/>
      <c r="LBD12" s="513"/>
      <c r="LBE12" s="513"/>
      <c r="LBF12" s="513"/>
      <c r="LBG12" s="513"/>
      <c r="LBH12" s="513"/>
      <c r="LBI12" s="513"/>
      <c r="LBJ12" s="513"/>
      <c r="LBK12" s="513"/>
      <c r="LBL12" s="513"/>
      <c r="LBM12" s="513"/>
      <c r="LBN12" s="513"/>
      <c r="LBO12" s="513"/>
      <c r="LBP12" s="513"/>
      <c r="LBQ12" s="513"/>
      <c r="LBR12" s="513"/>
      <c r="LBS12" s="513"/>
      <c r="LBT12" s="513"/>
      <c r="LBU12" s="513"/>
      <c r="LBV12" s="513"/>
      <c r="LBW12" s="513"/>
      <c r="LBX12" s="513"/>
      <c r="LBY12" s="513"/>
      <c r="LBZ12" s="513"/>
      <c r="LCA12" s="513"/>
      <c r="LCB12" s="513"/>
      <c r="LCC12" s="513"/>
      <c r="LCD12" s="513"/>
      <c r="LCE12" s="513"/>
      <c r="LCF12" s="513"/>
      <c r="LCG12" s="513"/>
      <c r="LCH12" s="513"/>
      <c r="LCI12" s="513"/>
      <c r="LCJ12" s="513"/>
      <c r="LCK12" s="513"/>
      <c r="LCL12" s="513"/>
      <c r="LCM12" s="513"/>
      <c r="LCN12" s="513"/>
      <c r="LCO12" s="513"/>
      <c r="LCP12" s="513"/>
      <c r="LCQ12" s="513"/>
      <c r="LCR12" s="513"/>
      <c r="LCS12" s="513"/>
      <c r="LCT12" s="513"/>
      <c r="LCU12" s="513"/>
      <c r="LCV12" s="513"/>
      <c r="LCW12" s="513"/>
      <c r="LCX12" s="513"/>
      <c r="LCY12" s="513"/>
      <c r="LCZ12" s="513"/>
      <c r="LDA12" s="513"/>
      <c r="LDB12" s="513"/>
      <c r="LDC12" s="513"/>
      <c r="LDD12" s="513"/>
      <c r="LDE12" s="513"/>
      <c r="LDF12" s="513"/>
      <c r="LDG12" s="513"/>
      <c r="LDH12" s="513"/>
      <c r="LDI12" s="513"/>
      <c r="LDJ12" s="513"/>
      <c r="LDK12" s="513"/>
      <c r="LDL12" s="513"/>
      <c r="LDM12" s="513"/>
      <c r="LDN12" s="513"/>
      <c r="LDO12" s="513"/>
      <c r="LDP12" s="513"/>
      <c r="LDQ12" s="513"/>
      <c r="LDR12" s="513"/>
      <c r="LDS12" s="513"/>
      <c r="LDT12" s="513"/>
      <c r="LDU12" s="513"/>
      <c r="LDV12" s="513"/>
      <c r="LDW12" s="513"/>
      <c r="LDX12" s="513"/>
      <c r="LDY12" s="513"/>
      <c r="LDZ12" s="513"/>
      <c r="LEA12" s="513"/>
      <c r="LEB12" s="513"/>
      <c r="LEC12" s="513"/>
      <c r="LED12" s="513"/>
      <c r="LEE12" s="513"/>
      <c r="LEF12" s="513"/>
      <c r="LEG12" s="513"/>
      <c r="LEH12" s="513"/>
      <c r="LEI12" s="513"/>
      <c r="LEJ12" s="513"/>
      <c r="LEK12" s="513"/>
      <c r="LEL12" s="513"/>
      <c r="LEM12" s="513"/>
      <c r="LEN12" s="513"/>
      <c r="LEO12" s="513"/>
      <c r="LEP12" s="513"/>
      <c r="LEQ12" s="513"/>
      <c r="LER12" s="513"/>
      <c r="LES12" s="513"/>
      <c r="LET12" s="513"/>
      <c r="LEU12" s="513"/>
      <c r="LEV12" s="513"/>
      <c r="LEW12" s="513"/>
      <c r="LEX12" s="513"/>
      <c r="LEY12" s="513"/>
      <c r="LEZ12" s="513"/>
      <c r="LFA12" s="513"/>
      <c r="LFB12" s="513"/>
      <c r="LFC12" s="513"/>
      <c r="LFD12" s="513"/>
      <c r="LFE12" s="513"/>
      <c r="LFF12" s="513"/>
      <c r="LFG12" s="513"/>
      <c r="LFH12" s="513"/>
      <c r="LFI12" s="513"/>
      <c r="LFJ12" s="513"/>
      <c r="LFK12" s="513"/>
      <c r="LFL12" s="513"/>
      <c r="LFM12" s="513"/>
      <c r="LFN12" s="513"/>
      <c r="LFO12" s="513"/>
      <c r="LFP12" s="513"/>
      <c r="LFQ12" s="513"/>
      <c r="LFR12" s="513"/>
      <c r="LFS12" s="513"/>
      <c r="LFT12" s="513"/>
      <c r="LFU12" s="513"/>
      <c r="LFV12" s="513"/>
      <c r="LFW12" s="513"/>
      <c r="LFX12" s="513"/>
      <c r="LFY12" s="513"/>
      <c r="LFZ12" s="513"/>
      <c r="LGA12" s="513"/>
      <c r="LGB12" s="513"/>
      <c r="LGC12" s="513"/>
      <c r="LGD12" s="513"/>
      <c r="LGE12" s="513"/>
      <c r="LGF12" s="513"/>
      <c r="LGG12" s="513"/>
      <c r="LGH12" s="513"/>
      <c r="LGI12" s="513"/>
      <c r="LGJ12" s="513"/>
      <c r="LGK12" s="513"/>
      <c r="LGL12" s="513"/>
      <c r="LGM12" s="513"/>
      <c r="LGN12" s="513"/>
      <c r="LGO12" s="513"/>
      <c r="LGP12" s="513"/>
      <c r="LGQ12" s="513"/>
      <c r="LGR12" s="513"/>
      <c r="LGS12" s="513"/>
      <c r="LGT12" s="513"/>
      <c r="LGU12" s="513"/>
      <c r="LGV12" s="513"/>
      <c r="LGW12" s="513"/>
      <c r="LGX12" s="513"/>
      <c r="LGY12" s="513"/>
      <c r="LGZ12" s="513"/>
      <c r="LHA12" s="513"/>
      <c r="LHB12" s="513"/>
      <c r="LHC12" s="513"/>
      <c r="LHD12" s="513"/>
      <c r="LHE12" s="513"/>
      <c r="LHF12" s="513"/>
      <c r="LHG12" s="513"/>
      <c r="LHH12" s="513"/>
      <c r="LHI12" s="513"/>
      <c r="LHJ12" s="513"/>
      <c r="LHK12" s="513"/>
      <c r="LHL12" s="513"/>
      <c r="LHM12" s="513"/>
      <c r="LHN12" s="513"/>
      <c r="LHO12" s="513"/>
      <c r="LHP12" s="513"/>
      <c r="LHQ12" s="513"/>
      <c r="LHR12" s="513"/>
      <c r="LHS12" s="513"/>
      <c r="LHT12" s="513"/>
      <c r="LHU12" s="513"/>
      <c r="LHV12" s="513"/>
      <c r="LHW12" s="513"/>
      <c r="LHX12" s="513"/>
      <c r="LHY12" s="513"/>
      <c r="LHZ12" s="513"/>
      <c r="LIA12" s="513"/>
      <c r="LIB12" s="513"/>
      <c r="LIC12" s="513"/>
      <c r="LID12" s="513"/>
      <c r="LIE12" s="513"/>
      <c r="LIF12" s="513"/>
      <c r="LIG12" s="513"/>
      <c r="LIH12" s="513"/>
      <c r="LII12" s="513"/>
      <c r="LIJ12" s="513"/>
      <c r="LIK12" s="513"/>
      <c r="LIL12" s="513"/>
      <c r="LIM12" s="513"/>
      <c r="LIN12" s="513"/>
      <c r="LIO12" s="513"/>
      <c r="LIP12" s="513"/>
      <c r="LIQ12" s="513"/>
      <c r="LIR12" s="513"/>
      <c r="LIS12" s="513"/>
      <c r="LIT12" s="513"/>
      <c r="LIU12" s="513"/>
      <c r="LIV12" s="513"/>
      <c r="LIW12" s="513"/>
      <c r="LIX12" s="513"/>
      <c r="LIY12" s="513"/>
      <c r="LIZ12" s="513"/>
      <c r="LJA12" s="513"/>
      <c r="LJB12" s="513"/>
      <c r="LJC12" s="513"/>
      <c r="LJD12" s="513"/>
      <c r="LJE12" s="513"/>
      <c r="LJF12" s="513"/>
      <c r="LJG12" s="513"/>
      <c r="LJH12" s="513"/>
      <c r="LJI12" s="513"/>
      <c r="LJJ12" s="513"/>
      <c r="LJK12" s="513"/>
      <c r="LJL12" s="513"/>
      <c r="LJM12" s="513"/>
      <c r="LJN12" s="513"/>
      <c r="LJO12" s="513"/>
      <c r="LJP12" s="513"/>
      <c r="LJQ12" s="513"/>
      <c r="LJR12" s="513"/>
      <c r="LJS12" s="513"/>
      <c r="LJT12" s="513"/>
      <c r="LJU12" s="513"/>
      <c r="LJV12" s="513"/>
      <c r="LJW12" s="513"/>
      <c r="LJX12" s="513"/>
      <c r="LJY12" s="513"/>
      <c r="LJZ12" s="513"/>
      <c r="LKA12" s="513"/>
      <c r="LKB12" s="513"/>
      <c r="LKC12" s="513"/>
      <c r="LKD12" s="513"/>
      <c r="LKE12" s="513"/>
      <c r="LKF12" s="513"/>
      <c r="LKG12" s="513"/>
      <c r="LKH12" s="513"/>
      <c r="LKI12" s="513"/>
      <c r="LKJ12" s="513"/>
      <c r="LKK12" s="513"/>
      <c r="LKL12" s="513"/>
      <c r="LKM12" s="513"/>
      <c r="LKN12" s="513"/>
      <c r="LKO12" s="513"/>
      <c r="LKP12" s="513"/>
      <c r="LKQ12" s="513"/>
      <c r="LKR12" s="513"/>
      <c r="LKS12" s="513"/>
      <c r="LKT12" s="513"/>
      <c r="LKU12" s="513"/>
      <c r="LKV12" s="513"/>
      <c r="LKW12" s="513"/>
      <c r="LKX12" s="513"/>
      <c r="LKY12" s="513"/>
      <c r="LKZ12" s="513"/>
      <c r="LLA12" s="513"/>
      <c r="LLB12" s="513"/>
      <c r="LLC12" s="513"/>
      <c r="LLD12" s="513"/>
      <c r="LLE12" s="513"/>
      <c r="LLF12" s="513"/>
      <c r="LLG12" s="513"/>
      <c r="LLH12" s="513"/>
      <c r="LLI12" s="513"/>
      <c r="LLJ12" s="513"/>
      <c r="LLK12" s="513"/>
      <c r="LLL12" s="513"/>
      <c r="LLM12" s="513"/>
      <c r="LLN12" s="513"/>
      <c r="LLO12" s="513"/>
      <c r="LLP12" s="513"/>
      <c r="LLQ12" s="513"/>
      <c r="LLR12" s="513"/>
      <c r="LLS12" s="513"/>
      <c r="LLT12" s="513"/>
      <c r="LLU12" s="513"/>
      <c r="LLV12" s="513"/>
      <c r="LLW12" s="513"/>
      <c r="LLX12" s="513"/>
      <c r="LLY12" s="513"/>
      <c r="LLZ12" s="513"/>
      <c r="LMA12" s="513"/>
      <c r="LMB12" s="513"/>
      <c r="LMC12" s="513"/>
      <c r="LMD12" s="513"/>
      <c r="LME12" s="513"/>
      <c r="LMF12" s="513"/>
      <c r="LMG12" s="513"/>
      <c r="LMH12" s="513"/>
      <c r="LMI12" s="513"/>
      <c r="LMJ12" s="513"/>
      <c r="LMK12" s="513"/>
      <c r="LML12" s="513"/>
      <c r="LMM12" s="513"/>
      <c r="LMN12" s="513"/>
      <c r="LMO12" s="513"/>
      <c r="LMP12" s="513"/>
      <c r="LMQ12" s="513"/>
      <c r="LMR12" s="513"/>
      <c r="LMS12" s="513"/>
      <c r="LMT12" s="513"/>
      <c r="LMU12" s="513"/>
      <c r="LMV12" s="513"/>
      <c r="LMW12" s="513"/>
      <c r="LMX12" s="513"/>
      <c r="LMY12" s="513"/>
      <c r="LMZ12" s="513"/>
      <c r="LNA12" s="513"/>
      <c r="LNB12" s="513"/>
      <c r="LNC12" s="513"/>
      <c r="LND12" s="513"/>
      <c r="LNE12" s="513"/>
      <c r="LNF12" s="513"/>
      <c r="LNG12" s="513"/>
      <c r="LNH12" s="513"/>
      <c r="LNI12" s="513"/>
      <c r="LNJ12" s="513"/>
      <c r="LNK12" s="513"/>
      <c r="LNL12" s="513"/>
      <c r="LNM12" s="513"/>
      <c r="LNN12" s="513"/>
      <c r="LNO12" s="513"/>
      <c r="LNP12" s="513"/>
      <c r="LNQ12" s="513"/>
      <c r="LNR12" s="513"/>
      <c r="LNS12" s="513"/>
      <c r="LNT12" s="513"/>
      <c r="LNU12" s="513"/>
      <c r="LNV12" s="513"/>
      <c r="LNW12" s="513"/>
      <c r="LNX12" s="513"/>
      <c r="LNY12" s="513"/>
      <c r="LNZ12" s="513"/>
      <c r="LOA12" s="513"/>
      <c r="LOB12" s="513"/>
      <c r="LOC12" s="513"/>
      <c r="LOD12" s="513"/>
      <c r="LOE12" s="513"/>
      <c r="LOF12" s="513"/>
      <c r="LOG12" s="513"/>
      <c r="LOH12" s="513"/>
      <c r="LOI12" s="513"/>
      <c r="LOJ12" s="513"/>
      <c r="LOK12" s="513"/>
      <c r="LOL12" s="513"/>
      <c r="LOM12" s="513"/>
      <c r="LON12" s="513"/>
      <c r="LOO12" s="513"/>
      <c r="LOP12" s="513"/>
      <c r="LOQ12" s="513"/>
      <c r="LOR12" s="513"/>
      <c r="LOS12" s="513"/>
      <c r="LOT12" s="513"/>
      <c r="LOU12" s="513"/>
      <c r="LOV12" s="513"/>
      <c r="LOW12" s="513"/>
      <c r="LOX12" s="513"/>
      <c r="LOY12" s="513"/>
      <c r="LOZ12" s="513"/>
      <c r="LPA12" s="513"/>
      <c r="LPB12" s="513"/>
      <c r="LPC12" s="513"/>
      <c r="LPD12" s="513"/>
      <c r="LPE12" s="513"/>
      <c r="LPF12" s="513"/>
      <c r="LPG12" s="513"/>
      <c r="LPH12" s="513"/>
      <c r="LPI12" s="513"/>
      <c r="LPJ12" s="513"/>
      <c r="LPK12" s="513"/>
      <c r="LPL12" s="513"/>
      <c r="LPM12" s="513"/>
      <c r="LPN12" s="513"/>
      <c r="LPO12" s="513"/>
      <c r="LPP12" s="513"/>
      <c r="LPQ12" s="513"/>
      <c r="LPR12" s="513"/>
      <c r="LPS12" s="513"/>
      <c r="LPT12" s="513"/>
      <c r="LPU12" s="513"/>
      <c r="LPV12" s="513"/>
      <c r="LPW12" s="513"/>
      <c r="LPX12" s="513"/>
      <c r="LPY12" s="513"/>
      <c r="LPZ12" s="513"/>
      <c r="LQA12" s="513"/>
      <c r="LQB12" s="513"/>
      <c r="LQC12" s="513"/>
      <c r="LQD12" s="513"/>
      <c r="LQE12" s="513"/>
      <c r="LQF12" s="513"/>
      <c r="LQG12" s="513"/>
      <c r="LQH12" s="513"/>
      <c r="LQI12" s="513"/>
      <c r="LQJ12" s="513"/>
      <c r="LQK12" s="513"/>
      <c r="LQL12" s="513"/>
      <c r="LQM12" s="513"/>
      <c r="LQN12" s="513"/>
      <c r="LQO12" s="513"/>
      <c r="LQP12" s="513"/>
      <c r="LQQ12" s="513"/>
      <c r="LQR12" s="513"/>
      <c r="LQS12" s="513"/>
      <c r="LQT12" s="513"/>
      <c r="LQU12" s="513"/>
      <c r="LQV12" s="513"/>
      <c r="LQW12" s="513"/>
      <c r="LQX12" s="513"/>
      <c r="LQY12" s="513"/>
      <c r="LQZ12" s="513"/>
      <c r="LRA12" s="513"/>
      <c r="LRB12" s="513"/>
      <c r="LRC12" s="513"/>
      <c r="LRD12" s="513"/>
      <c r="LRE12" s="513"/>
      <c r="LRF12" s="513"/>
      <c r="LRG12" s="513"/>
      <c r="LRH12" s="513"/>
      <c r="LRI12" s="513"/>
      <c r="LRJ12" s="513"/>
      <c r="LRK12" s="513"/>
      <c r="LRL12" s="513"/>
      <c r="LRM12" s="513"/>
      <c r="LRN12" s="513"/>
      <c r="LRO12" s="513"/>
      <c r="LRP12" s="513"/>
      <c r="LRQ12" s="513"/>
      <c r="LRR12" s="513"/>
      <c r="LRS12" s="513"/>
      <c r="LRT12" s="513"/>
      <c r="LRU12" s="513"/>
      <c r="LRV12" s="513"/>
      <c r="LRW12" s="513"/>
      <c r="LRX12" s="513"/>
      <c r="LRY12" s="513"/>
      <c r="LRZ12" s="513"/>
      <c r="LSA12" s="513"/>
      <c r="LSB12" s="513"/>
      <c r="LSC12" s="513"/>
      <c r="LSD12" s="513"/>
      <c r="LSE12" s="513"/>
      <c r="LSF12" s="513"/>
      <c r="LSG12" s="513"/>
      <c r="LSH12" s="513"/>
      <c r="LSI12" s="513"/>
      <c r="LSJ12" s="513"/>
      <c r="LSK12" s="513"/>
      <c r="LSL12" s="513"/>
      <c r="LSM12" s="513"/>
      <c r="LSN12" s="513"/>
      <c r="LSO12" s="513"/>
      <c r="LSP12" s="513"/>
      <c r="LSQ12" s="513"/>
      <c r="LSR12" s="513"/>
      <c r="LSS12" s="513"/>
      <c r="LST12" s="513"/>
      <c r="LSU12" s="513"/>
      <c r="LSV12" s="513"/>
      <c r="LSW12" s="513"/>
      <c r="LSX12" s="513"/>
      <c r="LSY12" s="513"/>
      <c r="LSZ12" s="513"/>
      <c r="LTA12" s="513"/>
      <c r="LTB12" s="513"/>
      <c r="LTC12" s="513"/>
      <c r="LTD12" s="513"/>
      <c r="LTE12" s="513"/>
      <c r="LTF12" s="513"/>
      <c r="LTG12" s="513"/>
      <c r="LTH12" s="513"/>
      <c r="LTI12" s="513"/>
      <c r="LTJ12" s="513"/>
      <c r="LTK12" s="513"/>
      <c r="LTL12" s="513"/>
      <c r="LTM12" s="513"/>
      <c r="LTN12" s="513"/>
      <c r="LTO12" s="513"/>
      <c r="LTP12" s="513"/>
      <c r="LTQ12" s="513"/>
      <c r="LTR12" s="513"/>
      <c r="LTS12" s="513"/>
      <c r="LTT12" s="513"/>
      <c r="LTU12" s="513"/>
      <c r="LTV12" s="513"/>
      <c r="LTW12" s="513"/>
      <c r="LTX12" s="513"/>
      <c r="LTY12" s="513"/>
      <c r="LTZ12" s="513"/>
      <c r="LUA12" s="513"/>
      <c r="LUB12" s="513"/>
      <c r="LUC12" s="513"/>
      <c r="LUD12" s="513"/>
      <c r="LUE12" s="513"/>
      <c r="LUF12" s="513"/>
      <c r="LUG12" s="513"/>
      <c r="LUH12" s="513"/>
      <c r="LUI12" s="513"/>
      <c r="LUJ12" s="513"/>
      <c r="LUK12" s="513"/>
      <c r="LUL12" s="513"/>
      <c r="LUM12" s="513"/>
      <c r="LUN12" s="513"/>
      <c r="LUO12" s="513"/>
      <c r="LUP12" s="513"/>
      <c r="LUQ12" s="513"/>
      <c r="LUR12" s="513"/>
      <c r="LUS12" s="513"/>
      <c r="LUT12" s="513"/>
      <c r="LUU12" s="513"/>
      <c r="LUV12" s="513"/>
      <c r="LUW12" s="513"/>
      <c r="LUX12" s="513"/>
      <c r="LUY12" s="513"/>
      <c r="LUZ12" s="513"/>
      <c r="LVA12" s="513"/>
      <c r="LVB12" s="513"/>
      <c r="LVC12" s="513"/>
      <c r="LVD12" s="513"/>
      <c r="LVE12" s="513"/>
      <c r="LVF12" s="513"/>
      <c r="LVG12" s="513"/>
      <c r="LVH12" s="513"/>
      <c r="LVI12" s="513"/>
      <c r="LVJ12" s="513"/>
      <c r="LVK12" s="513"/>
      <c r="LVL12" s="513"/>
      <c r="LVM12" s="513"/>
      <c r="LVN12" s="513"/>
      <c r="LVO12" s="513"/>
      <c r="LVP12" s="513"/>
      <c r="LVQ12" s="513"/>
      <c r="LVR12" s="513"/>
      <c r="LVS12" s="513"/>
      <c r="LVT12" s="513"/>
      <c r="LVU12" s="513"/>
      <c r="LVV12" s="513"/>
      <c r="LVW12" s="513"/>
      <c r="LVX12" s="513"/>
      <c r="LVY12" s="513"/>
      <c r="LVZ12" s="513"/>
      <c r="LWA12" s="513"/>
      <c r="LWB12" s="513"/>
      <c r="LWC12" s="513"/>
      <c r="LWD12" s="513"/>
      <c r="LWE12" s="513"/>
      <c r="LWF12" s="513"/>
      <c r="LWG12" s="513"/>
      <c r="LWH12" s="513"/>
      <c r="LWI12" s="513"/>
      <c r="LWJ12" s="513"/>
      <c r="LWK12" s="513"/>
      <c r="LWL12" s="513"/>
      <c r="LWM12" s="513"/>
      <c r="LWN12" s="513"/>
      <c r="LWO12" s="513"/>
      <c r="LWP12" s="513"/>
      <c r="LWQ12" s="513"/>
      <c r="LWR12" s="513"/>
      <c r="LWS12" s="513"/>
      <c r="LWT12" s="513"/>
      <c r="LWU12" s="513"/>
      <c r="LWV12" s="513"/>
      <c r="LWW12" s="513"/>
      <c r="LWX12" s="513"/>
      <c r="LWY12" s="513"/>
      <c r="LWZ12" s="513"/>
      <c r="LXA12" s="513"/>
      <c r="LXB12" s="513"/>
      <c r="LXC12" s="513"/>
      <c r="LXD12" s="513"/>
      <c r="LXE12" s="513"/>
      <c r="LXF12" s="513"/>
      <c r="LXG12" s="513"/>
      <c r="LXH12" s="513"/>
      <c r="LXI12" s="513"/>
      <c r="LXJ12" s="513"/>
      <c r="LXK12" s="513"/>
      <c r="LXL12" s="513"/>
      <c r="LXM12" s="513"/>
      <c r="LXN12" s="513"/>
      <c r="LXO12" s="513"/>
      <c r="LXP12" s="513"/>
      <c r="LXQ12" s="513"/>
      <c r="LXR12" s="513"/>
      <c r="LXS12" s="513"/>
      <c r="LXT12" s="513"/>
      <c r="LXU12" s="513"/>
      <c r="LXV12" s="513"/>
      <c r="LXW12" s="513"/>
      <c r="LXX12" s="513"/>
      <c r="LXY12" s="513"/>
      <c r="LXZ12" s="513"/>
      <c r="LYA12" s="513"/>
      <c r="LYB12" s="513"/>
      <c r="LYC12" s="513"/>
      <c r="LYD12" s="513"/>
      <c r="LYE12" s="513"/>
      <c r="LYF12" s="513"/>
      <c r="LYG12" s="513"/>
      <c r="LYH12" s="513"/>
      <c r="LYI12" s="513"/>
      <c r="LYJ12" s="513"/>
      <c r="LYK12" s="513"/>
      <c r="LYL12" s="513"/>
      <c r="LYM12" s="513"/>
      <c r="LYN12" s="513"/>
      <c r="LYO12" s="513"/>
      <c r="LYP12" s="513"/>
      <c r="LYQ12" s="513"/>
      <c r="LYR12" s="513"/>
      <c r="LYS12" s="513"/>
      <c r="LYT12" s="513"/>
      <c r="LYU12" s="513"/>
      <c r="LYV12" s="513"/>
      <c r="LYW12" s="513"/>
      <c r="LYX12" s="513"/>
      <c r="LYY12" s="513"/>
      <c r="LYZ12" s="513"/>
      <c r="LZA12" s="513"/>
      <c r="LZB12" s="513"/>
      <c r="LZC12" s="513"/>
      <c r="LZD12" s="513"/>
      <c r="LZE12" s="513"/>
      <c r="LZF12" s="513"/>
      <c r="LZG12" s="513"/>
      <c r="LZH12" s="513"/>
      <c r="LZI12" s="513"/>
      <c r="LZJ12" s="513"/>
      <c r="LZK12" s="513"/>
      <c r="LZL12" s="513"/>
      <c r="LZM12" s="513"/>
      <c r="LZN12" s="513"/>
      <c r="LZO12" s="513"/>
      <c r="LZP12" s="513"/>
      <c r="LZQ12" s="513"/>
      <c r="LZR12" s="513"/>
      <c r="LZS12" s="513"/>
      <c r="LZT12" s="513"/>
      <c r="LZU12" s="513"/>
      <c r="LZV12" s="513"/>
      <c r="LZW12" s="513"/>
      <c r="LZX12" s="513"/>
      <c r="LZY12" s="513"/>
      <c r="LZZ12" s="513"/>
      <c r="MAA12" s="513"/>
      <c r="MAB12" s="513"/>
      <c r="MAC12" s="513"/>
      <c r="MAD12" s="513"/>
      <c r="MAE12" s="513"/>
      <c r="MAF12" s="513"/>
      <c r="MAG12" s="513"/>
      <c r="MAH12" s="513"/>
      <c r="MAI12" s="513"/>
      <c r="MAJ12" s="513"/>
      <c r="MAK12" s="513"/>
      <c r="MAL12" s="513"/>
      <c r="MAM12" s="513"/>
      <c r="MAN12" s="513"/>
      <c r="MAO12" s="513"/>
      <c r="MAP12" s="513"/>
      <c r="MAQ12" s="513"/>
      <c r="MAR12" s="513"/>
      <c r="MAS12" s="513"/>
      <c r="MAT12" s="513"/>
      <c r="MAU12" s="513"/>
      <c r="MAV12" s="513"/>
      <c r="MAW12" s="513"/>
      <c r="MAX12" s="513"/>
      <c r="MAY12" s="513"/>
      <c r="MAZ12" s="513"/>
      <c r="MBA12" s="513"/>
      <c r="MBB12" s="513"/>
      <c r="MBC12" s="513"/>
      <c r="MBD12" s="513"/>
      <c r="MBE12" s="513"/>
      <c r="MBF12" s="513"/>
      <c r="MBG12" s="513"/>
      <c r="MBH12" s="513"/>
      <c r="MBI12" s="513"/>
      <c r="MBJ12" s="513"/>
      <c r="MBK12" s="513"/>
      <c r="MBL12" s="513"/>
      <c r="MBM12" s="513"/>
      <c r="MBN12" s="513"/>
      <c r="MBO12" s="513"/>
      <c r="MBP12" s="513"/>
      <c r="MBQ12" s="513"/>
      <c r="MBR12" s="513"/>
      <c r="MBS12" s="513"/>
      <c r="MBT12" s="513"/>
      <c r="MBU12" s="513"/>
      <c r="MBV12" s="513"/>
      <c r="MBW12" s="513"/>
      <c r="MBX12" s="513"/>
      <c r="MBY12" s="513"/>
      <c r="MBZ12" s="513"/>
      <c r="MCA12" s="513"/>
      <c r="MCB12" s="513"/>
      <c r="MCC12" s="513"/>
      <c r="MCD12" s="513"/>
      <c r="MCE12" s="513"/>
      <c r="MCF12" s="513"/>
      <c r="MCG12" s="513"/>
      <c r="MCH12" s="513"/>
      <c r="MCI12" s="513"/>
      <c r="MCJ12" s="513"/>
      <c r="MCK12" s="513"/>
      <c r="MCL12" s="513"/>
      <c r="MCM12" s="513"/>
      <c r="MCN12" s="513"/>
      <c r="MCO12" s="513"/>
      <c r="MCP12" s="513"/>
      <c r="MCQ12" s="513"/>
      <c r="MCR12" s="513"/>
      <c r="MCS12" s="513"/>
      <c r="MCT12" s="513"/>
      <c r="MCU12" s="513"/>
      <c r="MCV12" s="513"/>
      <c r="MCW12" s="513"/>
      <c r="MCX12" s="513"/>
      <c r="MCY12" s="513"/>
      <c r="MCZ12" s="513"/>
      <c r="MDA12" s="513"/>
      <c r="MDB12" s="513"/>
      <c r="MDC12" s="513"/>
      <c r="MDD12" s="513"/>
      <c r="MDE12" s="513"/>
      <c r="MDF12" s="513"/>
      <c r="MDG12" s="513"/>
      <c r="MDH12" s="513"/>
      <c r="MDI12" s="513"/>
      <c r="MDJ12" s="513"/>
      <c r="MDK12" s="513"/>
      <c r="MDL12" s="513"/>
      <c r="MDM12" s="513"/>
      <c r="MDN12" s="513"/>
      <c r="MDO12" s="513"/>
      <c r="MDP12" s="513"/>
      <c r="MDQ12" s="513"/>
      <c r="MDR12" s="513"/>
      <c r="MDS12" s="513"/>
      <c r="MDT12" s="513"/>
      <c r="MDU12" s="513"/>
      <c r="MDV12" s="513"/>
      <c r="MDW12" s="513"/>
      <c r="MDX12" s="513"/>
      <c r="MDY12" s="513"/>
      <c r="MDZ12" s="513"/>
      <c r="MEA12" s="513"/>
      <c r="MEB12" s="513"/>
      <c r="MEC12" s="513"/>
      <c r="MED12" s="513"/>
      <c r="MEE12" s="513"/>
      <c r="MEF12" s="513"/>
      <c r="MEG12" s="513"/>
      <c r="MEH12" s="513"/>
      <c r="MEI12" s="513"/>
      <c r="MEJ12" s="513"/>
      <c r="MEK12" s="513"/>
      <c r="MEL12" s="513"/>
      <c r="MEM12" s="513"/>
      <c r="MEN12" s="513"/>
      <c r="MEO12" s="513"/>
      <c r="MEP12" s="513"/>
      <c r="MEQ12" s="513"/>
      <c r="MER12" s="513"/>
      <c r="MES12" s="513"/>
      <c r="MET12" s="513"/>
      <c r="MEU12" s="513"/>
      <c r="MEV12" s="513"/>
      <c r="MEW12" s="513"/>
      <c r="MEX12" s="513"/>
      <c r="MEY12" s="513"/>
      <c r="MEZ12" s="513"/>
      <c r="MFA12" s="513"/>
      <c r="MFB12" s="513"/>
      <c r="MFC12" s="513"/>
      <c r="MFD12" s="513"/>
      <c r="MFE12" s="513"/>
      <c r="MFF12" s="513"/>
      <c r="MFG12" s="513"/>
      <c r="MFH12" s="513"/>
      <c r="MFI12" s="513"/>
      <c r="MFJ12" s="513"/>
      <c r="MFK12" s="513"/>
      <c r="MFL12" s="513"/>
      <c r="MFM12" s="513"/>
      <c r="MFN12" s="513"/>
      <c r="MFO12" s="513"/>
      <c r="MFP12" s="513"/>
      <c r="MFQ12" s="513"/>
      <c r="MFR12" s="513"/>
      <c r="MFS12" s="513"/>
      <c r="MFT12" s="513"/>
      <c r="MFU12" s="513"/>
      <c r="MFV12" s="513"/>
      <c r="MFW12" s="513"/>
      <c r="MFX12" s="513"/>
      <c r="MFY12" s="513"/>
      <c r="MFZ12" s="513"/>
      <c r="MGA12" s="513"/>
      <c r="MGB12" s="513"/>
      <c r="MGC12" s="513"/>
      <c r="MGD12" s="513"/>
      <c r="MGE12" s="513"/>
      <c r="MGF12" s="513"/>
      <c r="MGG12" s="513"/>
      <c r="MGH12" s="513"/>
      <c r="MGI12" s="513"/>
      <c r="MGJ12" s="513"/>
      <c r="MGK12" s="513"/>
      <c r="MGL12" s="513"/>
      <c r="MGM12" s="513"/>
      <c r="MGN12" s="513"/>
      <c r="MGO12" s="513"/>
      <c r="MGP12" s="513"/>
      <c r="MGQ12" s="513"/>
      <c r="MGR12" s="513"/>
      <c r="MGS12" s="513"/>
      <c r="MGT12" s="513"/>
      <c r="MGU12" s="513"/>
      <c r="MGV12" s="513"/>
      <c r="MGW12" s="513"/>
      <c r="MGX12" s="513"/>
      <c r="MGY12" s="513"/>
      <c r="MGZ12" s="513"/>
      <c r="MHA12" s="513"/>
      <c r="MHB12" s="513"/>
      <c r="MHC12" s="513"/>
      <c r="MHD12" s="513"/>
      <c r="MHE12" s="513"/>
      <c r="MHF12" s="513"/>
      <c r="MHG12" s="513"/>
      <c r="MHH12" s="513"/>
      <c r="MHI12" s="513"/>
      <c r="MHJ12" s="513"/>
      <c r="MHK12" s="513"/>
      <c r="MHL12" s="513"/>
      <c r="MHM12" s="513"/>
      <c r="MHN12" s="513"/>
      <c r="MHO12" s="513"/>
      <c r="MHP12" s="513"/>
      <c r="MHQ12" s="513"/>
      <c r="MHR12" s="513"/>
      <c r="MHS12" s="513"/>
      <c r="MHT12" s="513"/>
      <c r="MHU12" s="513"/>
      <c r="MHV12" s="513"/>
      <c r="MHW12" s="513"/>
      <c r="MHX12" s="513"/>
      <c r="MHY12" s="513"/>
      <c r="MHZ12" s="513"/>
      <c r="MIA12" s="513"/>
      <c r="MIB12" s="513"/>
      <c r="MIC12" s="513"/>
      <c r="MID12" s="513"/>
      <c r="MIE12" s="513"/>
      <c r="MIF12" s="513"/>
      <c r="MIG12" s="513"/>
      <c r="MIH12" s="513"/>
      <c r="MII12" s="513"/>
      <c r="MIJ12" s="513"/>
      <c r="MIK12" s="513"/>
      <c r="MIL12" s="513"/>
      <c r="MIM12" s="513"/>
      <c r="MIN12" s="513"/>
      <c r="MIO12" s="513"/>
      <c r="MIP12" s="513"/>
      <c r="MIQ12" s="513"/>
      <c r="MIR12" s="513"/>
      <c r="MIS12" s="513"/>
      <c r="MIT12" s="513"/>
      <c r="MIU12" s="513"/>
      <c r="MIV12" s="513"/>
      <c r="MIW12" s="513"/>
      <c r="MIX12" s="513"/>
      <c r="MIY12" s="513"/>
      <c r="MIZ12" s="513"/>
      <c r="MJA12" s="513"/>
      <c r="MJB12" s="513"/>
      <c r="MJC12" s="513"/>
      <c r="MJD12" s="513"/>
      <c r="MJE12" s="513"/>
      <c r="MJF12" s="513"/>
      <c r="MJG12" s="513"/>
      <c r="MJH12" s="513"/>
      <c r="MJI12" s="513"/>
      <c r="MJJ12" s="513"/>
      <c r="MJK12" s="513"/>
      <c r="MJL12" s="513"/>
      <c r="MJM12" s="513"/>
      <c r="MJN12" s="513"/>
      <c r="MJO12" s="513"/>
      <c r="MJP12" s="513"/>
      <c r="MJQ12" s="513"/>
      <c r="MJR12" s="513"/>
      <c r="MJS12" s="513"/>
      <c r="MJT12" s="513"/>
      <c r="MJU12" s="513"/>
      <c r="MJV12" s="513"/>
      <c r="MJW12" s="513"/>
      <c r="MJX12" s="513"/>
      <c r="MJY12" s="513"/>
      <c r="MJZ12" s="513"/>
      <c r="MKA12" s="513"/>
      <c r="MKB12" s="513"/>
      <c r="MKC12" s="513"/>
      <c r="MKD12" s="513"/>
      <c r="MKE12" s="513"/>
      <c r="MKF12" s="513"/>
      <c r="MKG12" s="513"/>
      <c r="MKH12" s="513"/>
      <c r="MKI12" s="513"/>
      <c r="MKJ12" s="513"/>
      <c r="MKK12" s="513"/>
      <c r="MKL12" s="513"/>
      <c r="MKM12" s="513"/>
      <c r="MKN12" s="513"/>
      <c r="MKO12" s="513"/>
      <c r="MKP12" s="513"/>
      <c r="MKQ12" s="513"/>
      <c r="MKR12" s="513"/>
      <c r="MKS12" s="513"/>
      <c r="MKT12" s="513"/>
      <c r="MKU12" s="513"/>
      <c r="MKV12" s="513"/>
      <c r="MKW12" s="513"/>
      <c r="MKX12" s="513"/>
      <c r="MKY12" s="513"/>
      <c r="MKZ12" s="513"/>
      <c r="MLA12" s="513"/>
      <c r="MLB12" s="513"/>
      <c r="MLC12" s="513"/>
      <c r="MLD12" s="513"/>
      <c r="MLE12" s="513"/>
      <c r="MLF12" s="513"/>
      <c r="MLG12" s="513"/>
      <c r="MLH12" s="513"/>
      <c r="MLI12" s="513"/>
      <c r="MLJ12" s="513"/>
      <c r="MLK12" s="513"/>
      <c r="MLL12" s="513"/>
      <c r="MLM12" s="513"/>
      <c r="MLN12" s="513"/>
      <c r="MLO12" s="513"/>
      <c r="MLP12" s="513"/>
      <c r="MLQ12" s="513"/>
      <c r="MLR12" s="513"/>
      <c r="MLS12" s="513"/>
      <c r="MLT12" s="513"/>
      <c r="MLU12" s="513"/>
      <c r="MLV12" s="513"/>
      <c r="MLW12" s="513"/>
      <c r="MLX12" s="513"/>
      <c r="MLY12" s="513"/>
      <c r="MLZ12" s="513"/>
      <c r="MMA12" s="513"/>
      <c r="MMB12" s="513"/>
      <c r="MMC12" s="513"/>
      <c r="MMD12" s="513"/>
      <c r="MME12" s="513"/>
      <c r="MMF12" s="513"/>
      <c r="MMG12" s="513"/>
      <c r="MMH12" s="513"/>
      <c r="MMI12" s="513"/>
      <c r="MMJ12" s="513"/>
      <c r="MMK12" s="513"/>
      <c r="MML12" s="513"/>
      <c r="MMM12" s="513"/>
      <c r="MMN12" s="513"/>
      <c r="MMO12" s="513"/>
      <c r="MMP12" s="513"/>
      <c r="MMQ12" s="513"/>
      <c r="MMR12" s="513"/>
      <c r="MMS12" s="513"/>
      <c r="MMT12" s="513"/>
      <c r="MMU12" s="513"/>
      <c r="MMV12" s="513"/>
      <c r="MMW12" s="513"/>
      <c r="MMX12" s="513"/>
      <c r="MMY12" s="513"/>
      <c r="MMZ12" s="513"/>
      <c r="MNA12" s="513"/>
      <c r="MNB12" s="513"/>
      <c r="MNC12" s="513"/>
      <c r="MND12" s="513"/>
      <c r="MNE12" s="513"/>
      <c r="MNF12" s="513"/>
      <c r="MNG12" s="513"/>
      <c r="MNH12" s="513"/>
      <c r="MNI12" s="513"/>
      <c r="MNJ12" s="513"/>
      <c r="MNK12" s="513"/>
      <c r="MNL12" s="513"/>
      <c r="MNM12" s="513"/>
      <c r="MNN12" s="513"/>
      <c r="MNO12" s="513"/>
      <c r="MNP12" s="513"/>
      <c r="MNQ12" s="513"/>
      <c r="MNR12" s="513"/>
      <c r="MNS12" s="513"/>
      <c r="MNT12" s="513"/>
      <c r="MNU12" s="513"/>
      <c r="MNV12" s="513"/>
      <c r="MNW12" s="513"/>
      <c r="MNX12" s="513"/>
      <c r="MNY12" s="513"/>
      <c r="MNZ12" s="513"/>
      <c r="MOA12" s="513"/>
      <c r="MOB12" s="513"/>
      <c r="MOC12" s="513"/>
      <c r="MOD12" s="513"/>
      <c r="MOE12" s="513"/>
      <c r="MOF12" s="513"/>
      <c r="MOG12" s="513"/>
      <c r="MOH12" s="513"/>
      <c r="MOI12" s="513"/>
      <c r="MOJ12" s="513"/>
      <c r="MOK12" s="513"/>
      <c r="MOL12" s="513"/>
      <c r="MOM12" s="513"/>
      <c r="MON12" s="513"/>
      <c r="MOO12" s="513"/>
      <c r="MOP12" s="513"/>
      <c r="MOQ12" s="513"/>
      <c r="MOR12" s="513"/>
      <c r="MOS12" s="513"/>
      <c r="MOT12" s="513"/>
      <c r="MOU12" s="513"/>
      <c r="MOV12" s="513"/>
      <c r="MOW12" s="513"/>
      <c r="MOX12" s="513"/>
      <c r="MOY12" s="513"/>
      <c r="MOZ12" s="513"/>
      <c r="MPA12" s="513"/>
      <c r="MPB12" s="513"/>
      <c r="MPC12" s="513"/>
      <c r="MPD12" s="513"/>
      <c r="MPE12" s="513"/>
      <c r="MPF12" s="513"/>
      <c r="MPG12" s="513"/>
      <c r="MPH12" s="513"/>
      <c r="MPI12" s="513"/>
      <c r="MPJ12" s="513"/>
      <c r="MPK12" s="513"/>
      <c r="MPL12" s="513"/>
      <c r="MPM12" s="513"/>
      <c r="MPN12" s="513"/>
      <c r="MPO12" s="513"/>
      <c r="MPP12" s="513"/>
      <c r="MPQ12" s="513"/>
      <c r="MPR12" s="513"/>
      <c r="MPS12" s="513"/>
      <c r="MPT12" s="513"/>
      <c r="MPU12" s="513"/>
      <c r="MPV12" s="513"/>
      <c r="MPW12" s="513"/>
      <c r="MPX12" s="513"/>
      <c r="MPY12" s="513"/>
      <c r="MPZ12" s="513"/>
      <c r="MQA12" s="513"/>
      <c r="MQB12" s="513"/>
      <c r="MQC12" s="513"/>
      <c r="MQD12" s="513"/>
      <c r="MQE12" s="513"/>
      <c r="MQF12" s="513"/>
      <c r="MQG12" s="513"/>
      <c r="MQH12" s="513"/>
      <c r="MQI12" s="513"/>
      <c r="MQJ12" s="513"/>
      <c r="MQK12" s="513"/>
      <c r="MQL12" s="513"/>
      <c r="MQM12" s="513"/>
      <c r="MQN12" s="513"/>
      <c r="MQO12" s="513"/>
      <c r="MQP12" s="513"/>
      <c r="MQQ12" s="513"/>
      <c r="MQR12" s="513"/>
      <c r="MQS12" s="513"/>
      <c r="MQT12" s="513"/>
      <c r="MQU12" s="513"/>
      <c r="MQV12" s="513"/>
      <c r="MQW12" s="513"/>
      <c r="MQX12" s="513"/>
      <c r="MQY12" s="513"/>
      <c r="MQZ12" s="513"/>
      <c r="MRA12" s="513"/>
      <c r="MRB12" s="513"/>
      <c r="MRC12" s="513"/>
      <c r="MRD12" s="513"/>
      <c r="MRE12" s="513"/>
      <c r="MRF12" s="513"/>
      <c r="MRG12" s="513"/>
      <c r="MRH12" s="513"/>
      <c r="MRI12" s="513"/>
      <c r="MRJ12" s="513"/>
      <c r="MRK12" s="513"/>
      <c r="MRL12" s="513"/>
      <c r="MRM12" s="513"/>
      <c r="MRN12" s="513"/>
      <c r="MRO12" s="513"/>
      <c r="MRP12" s="513"/>
      <c r="MRQ12" s="513"/>
      <c r="MRR12" s="513"/>
      <c r="MRS12" s="513"/>
      <c r="MRT12" s="513"/>
      <c r="MRU12" s="513"/>
      <c r="MRV12" s="513"/>
      <c r="MRW12" s="513"/>
      <c r="MRX12" s="513"/>
      <c r="MRY12" s="513"/>
      <c r="MRZ12" s="513"/>
      <c r="MSA12" s="513"/>
      <c r="MSB12" s="513"/>
      <c r="MSC12" s="513"/>
      <c r="MSD12" s="513"/>
      <c r="MSE12" s="513"/>
      <c r="MSF12" s="513"/>
      <c r="MSG12" s="513"/>
      <c r="MSH12" s="513"/>
      <c r="MSI12" s="513"/>
      <c r="MSJ12" s="513"/>
      <c r="MSK12" s="513"/>
      <c r="MSL12" s="513"/>
      <c r="MSM12" s="513"/>
      <c r="MSN12" s="513"/>
      <c r="MSO12" s="513"/>
      <c r="MSP12" s="513"/>
      <c r="MSQ12" s="513"/>
      <c r="MSR12" s="513"/>
      <c r="MSS12" s="513"/>
      <c r="MST12" s="513"/>
      <c r="MSU12" s="513"/>
      <c r="MSV12" s="513"/>
      <c r="MSW12" s="513"/>
      <c r="MSX12" s="513"/>
      <c r="MSY12" s="513"/>
      <c r="MSZ12" s="513"/>
      <c r="MTA12" s="513"/>
      <c r="MTB12" s="513"/>
      <c r="MTC12" s="513"/>
      <c r="MTD12" s="513"/>
      <c r="MTE12" s="513"/>
      <c r="MTF12" s="513"/>
      <c r="MTG12" s="513"/>
      <c r="MTH12" s="513"/>
      <c r="MTI12" s="513"/>
      <c r="MTJ12" s="513"/>
      <c r="MTK12" s="513"/>
      <c r="MTL12" s="513"/>
      <c r="MTM12" s="513"/>
      <c r="MTN12" s="513"/>
      <c r="MTO12" s="513"/>
      <c r="MTP12" s="513"/>
      <c r="MTQ12" s="513"/>
      <c r="MTR12" s="513"/>
      <c r="MTS12" s="513"/>
      <c r="MTT12" s="513"/>
      <c r="MTU12" s="513"/>
      <c r="MTV12" s="513"/>
      <c r="MTW12" s="513"/>
      <c r="MTX12" s="513"/>
      <c r="MTY12" s="513"/>
      <c r="MTZ12" s="513"/>
      <c r="MUA12" s="513"/>
      <c r="MUB12" s="513"/>
      <c r="MUC12" s="513"/>
      <c r="MUD12" s="513"/>
      <c r="MUE12" s="513"/>
      <c r="MUF12" s="513"/>
      <c r="MUG12" s="513"/>
      <c r="MUH12" s="513"/>
      <c r="MUI12" s="513"/>
      <c r="MUJ12" s="513"/>
      <c r="MUK12" s="513"/>
      <c r="MUL12" s="513"/>
      <c r="MUM12" s="513"/>
      <c r="MUN12" s="513"/>
      <c r="MUO12" s="513"/>
      <c r="MUP12" s="513"/>
      <c r="MUQ12" s="513"/>
      <c r="MUR12" s="513"/>
      <c r="MUS12" s="513"/>
      <c r="MUT12" s="513"/>
      <c r="MUU12" s="513"/>
      <c r="MUV12" s="513"/>
      <c r="MUW12" s="513"/>
      <c r="MUX12" s="513"/>
      <c r="MUY12" s="513"/>
      <c r="MUZ12" s="513"/>
      <c r="MVA12" s="513"/>
      <c r="MVB12" s="513"/>
      <c r="MVC12" s="513"/>
      <c r="MVD12" s="513"/>
      <c r="MVE12" s="513"/>
      <c r="MVF12" s="513"/>
      <c r="MVG12" s="513"/>
      <c r="MVH12" s="513"/>
      <c r="MVI12" s="513"/>
      <c r="MVJ12" s="513"/>
      <c r="MVK12" s="513"/>
      <c r="MVL12" s="513"/>
      <c r="MVM12" s="513"/>
      <c r="MVN12" s="513"/>
      <c r="MVO12" s="513"/>
      <c r="MVP12" s="513"/>
      <c r="MVQ12" s="513"/>
      <c r="MVR12" s="513"/>
      <c r="MVS12" s="513"/>
      <c r="MVT12" s="513"/>
      <c r="MVU12" s="513"/>
      <c r="MVV12" s="513"/>
      <c r="MVW12" s="513"/>
      <c r="MVX12" s="513"/>
      <c r="MVY12" s="513"/>
      <c r="MVZ12" s="513"/>
      <c r="MWA12" s="513"/>
      <c r="MWB12" s="513"/>
      <c r="MWC12" s="513"/>
      <c r="MWD12" s="513"/>
      <c r="MWE12" s="513"/>
      <c r="MWF12" s="513"/>
      <c r="MWG12" s="513"/>
      <c r="MWH12" s="513"/>
      <c r="MWI12" s="513"/>
      <c r="MWJ12" s="513"/>
      <c r="MWK12" s="513"/>
      <c r="MWL12" s="513"/>
      <c r="MWM12" s="513"/>
      <c r="MWN12" s="513"/>
      <c r="MWO12" s="513"/>
      <c r="MWP12" s="513"/>
      <c r="MWQ12" s="513"/>
      <c r="MWR12" s="513"/>
      <c r="MWS12" s="513"/>
      <c r="MWT12" s="513"/>
      <c r="MWU12" s="513"/>
      <c r="MWV12" s="513"/>
      <c r="MWW12" s="513"/>
      <c r="MWX12" s="513"/>
      <c r="MWY12" s="513"/>
      <c r="MWZ12" s="513"/>
      <c r="MXA12" s="513"/>
      <c r="MXB12" s="513"/>
      <c r="MXC12" s="513"/>
      <c r="MXD12" s="513"/>
      <c r="MXE12" s="513"/>
      <c r="MXF12" s="513"/>
      <c r="MXG12" s="513"/>
      <c r="MXH12" s="513"/>
      <c r="MXI12" s="513"/>
      <c r="MXJ12" s="513"/>
      <c r="MXK12" s="513"/>
      <c r="MXL12" s="513"/>
      <c r="MXM12" s="513"/>
      <c r="MXN12" s="513"/>
      <c r="MXO12" s="513"/>
      <c r="MXP12" s="513"/>
      <c r="MXQ12" s="513"/>
      <c r="MXR12" s="513"/>
      <c r="MXS12" s="513"/>
      <c r="MXT12" s="513"/>
      <c r="MXU12" s="513"/>
      <c r="MXV12" s="513"/>
      <c r="MXW12" s="513"/>
      <c r="MXX12" s="513"/>
      <c r="MXY12" s="513"/>
      <c r="MXZ12" s="513"/>
      <c r="MYA12" s="513"/>
      <c r="MYB12" s="513"/>
      <c r="MYC12" s="513"/>
      <c r="MYD12" s="513"/>
      <c r="MYE12" s="513"/>
      <c r="MYF12" s="513"/>
      <c r="MYG12" s="513"/>
      <c r="MYH12" s="513"/>
      <c r="MYI12" s="513"/>
      <c r="MYJ12" s="513"/>
      <c r="MYK12" s="513"/>
      <c r="MYL12" s="513"/>
      <c r="MYM12" s="513"/>
      <c r="MYN12" s="513"/>
      <c r="MYO12" s="513"/>
      <c r="MYP12" s="513"/>
      <c r="MYQ12" s="513"/>
      <c r="MYR12" s="513"/>
      <c r="MYS12" s="513"/>
      <c r="MYT12" s="513"/>
      <c r="MYU12" s="513"/>
      <c r="MYV12" s="513"/>
      <c r="MYW12" s="513"/>
      <c r="MYX12" s="513"/>
      <c r="MYY12" s="513"/>
      <c r="MYZ12" s="513"/>
      <c r="MZA12" s="513"/>
      <c r="MZB12" s="513"/>
      <c r="MZC12" s="513"/>
      <c r="MZD12" s="513"/>
      <c r="MZE12" s="513"/>
      <c r="MZF12" s="513"/>
      <c r="MZG12" s="513"/>
      <c r="MZH12" s="513"/>
      <c r="MZI12" s="513"/>
      <c r="MZJ12" s="513"/>
      <c r="MZK12" s="513"/>
      <c r="MZL12" s="513"/>
      <c r="MZM12" s="513"/>
      <c r="MZN12" s="513"/>
      <c r="MZO12" s="513"/>
      <c r="MZP12" s="513"/>
      <c r="MZQ12" s="513"/>
      <c r="MZR12" s="513"/>
      <c r="MZS12" s="513"/>
      <c r="MZT12" s="513"/>
      <c r="MZU12" s="513"/>
      <c r="MZV12" s="513"/>
      <c r="MZW12" s="513"/>
      <c r="MZX12" s="513"/>
      <c r="MZY12" s="513"/>
      <c r="MZZ12" s="513"/>
      <c r="NAA12" s="513"/>
      <c r="NAB12" s="513"/>
      <c r="NAC12" s="513"/>
      <c r="NAD12" s="513"/>
      <c r="NAE12" s="513"/>
      <c r="NAF12" s="513"/>
      <c r="NAG12" s="513"/>
      <c r="NAH12" s="513"/>
      <c r="NAI12" s="513"/>
      <c r="NAJ12" s="513"/>
      <c r="NAK12" s="513"/>
      <c r="NAL12" s="513"/>
      <c r="NAM12" s="513"/>
      <c r="NAN12" s="513"/>
      <c r="NAO12" s="513"/>
      <c r="NAP12" s="513"/>
      <c r="NAQ12" s="513"/>
      <c r="NAR12" s="513"/>
      <c r="NAS12" s="513"/>
      <c r="NAT12" s="513"/>
      <c r="NAU12" s="513"/>
      <c r="NAV12" s="513"/>
      <c r="NAW12" s="513"/>
      <c r="NAX12" s="513"/>
      <c r="NAY12" s="513"/>
      <c r="NAZ12" s="513"/>
      <c r="NBA12" s="513"/>
      <c r="NBB12" s="513"/>
      <c r="NBC12" s="513"/>
      <c r="NBD12" s="513"/>
      <c r="NBE12" s="513"/>
      <c r="NBF12" s="513"/>
      <c r="NBG12" s="513"/>
      <c r="NBH12" s="513"/>
      <c r="NBI12" s="513"/>
      <c r="NBJ12" s="513"/>
      <c r="NBK12" s="513"/>
      <c r="NBL12" s="513"/>
      <c r="NBM12" s="513"/>
      <c r="NBN12" s="513"/>
      <c r="NBO12" s="513"/>
      <c r="NBP12" s="513"/>
      <c r="NBQ12" s="513"/>
      <c r="NBR12" s="513"/>
      <c r="NBS12" s="513"/>
      <c r="NBT12" s="513"/>
      <c r="NBU12" s="513"/>
      <c r="NBV12" s="513"/>
      <c r="NBW12" s="513"/>
      <c r="NBX12" s="513"/>
      <c r="NBY12" s="513"/>
      <c r="NBZ12" s="513"/>
      <c r="NCA12" s="513"/>
      <c r="NCB12" s="513"/>
      <c r="NCC12" s="513"/>
      <c r="NCD12" s="513"/>
      <c r="NCE12" s="513"/>
      <c r="NCF12" s="513"/>
      <c r="NCG12" s="513"/>
      <c r="NCH12" s="513"/>
      <c r="NCI12" s="513"/>
      <c r="NCJ12" s="513"/>
      <c r="NCK12" s="513"/>
      <c r="NCL12" s="513"/>
      <c r="NCM12" s="513"/>
      <c r="NCN12" s="513"/>
      <c r="NCO12" s="513"/>
      <c r="NCP12" s="513"/>
      <c r="NCQ12" s="513"/>
      <c r="NCR12" s="513"/>
      <c r="NCS12" s="513"/>
      <c r="NCT12" s="513"/>
      <c r="NCU12" s="513"/>
      <c r="NCV12" s="513"/>
      <c r="NCW12" s="513"/>
      <c r="NCX12" s="513"/>
      <c r="NCY12" s="513"/>
      <c r="NCZ12" s="513"/>
      <c r="NDA12" s="513"/>
      <c r="NDB12" s="513"/>
      <c r="NDC12" s="513"/>
      <c r="NDD12" s="513"/>
      <c r="NDE12" s="513"/>
      <c r="NDF12" s="513"/>
      <c r="NDG12" s="513"/>
      <c r="NDH12" s="513"/>
      <c r="NDI12" s="513"/>
      <c r="NDJ12" s="513"/>
      <c r="NDK12" s="513"/>
      <c r="NDL12" s="513"/>
      <c r="NDM12" s="513"/>
      <c r="NDN12" s="513"/>
      <c r="NDO12" s="513"/>
      <c r="NDP12" s="513"/>
      <c r="NDQ12" s="513"/>
      <c r="NDR12" s="513"/>
      <c r="NDS12" s="513"/>
      <c r="NDT12" s="513"/>
      <c r="NDU12" s="513"/>
      <c r="NDV12" s="513"/>
      <c r="NDW12" s="513"/>
      <c r="NDX12" s="513"/>
      <c r="NDY12" s="513"/>
      <c r="NDZ12" s="513"/>
      <c r="NEA12" s="513"/>
      <c r="NEB12" s="513"/>
      <c r="NEC12" s="513"/>
      <c r="NED12" s="513"/>
      <c r="NEE12" s="513"/>
      <c r="NEF12" s="513"/>
      <c r="NEG12" s="513"/>
      <c r="NEH12" s="513"/>
      <c r="NEI12" s="513"/>
      <c r="NEJ12" s="513"/>
      <c r="NEK12" s="513"/>
      <c r="NEL12" s="513"/>
      <c r="NEM12" s="513"/>
      <c r="NEN12" s="513"/>
      <c r="NEO12" s="513"/>
      <c r="NEP12" s="513"/>
      <c r="NEQ12" s="513"/>
      <c r="NER12" s="513"/>
      <c r="NES12" s="513"/>
      <c r="NET12" s="513"/>
      <c r="NEU12" s="513"/>
      <c r="NEV12" s="513"/>
      <c r="NEW12" s="513"/>
      <c r="NEX12" s="513"/>
      <c r="NEY12" s="513"/>
      <c r="NEZ12" s="513"/>
      <c r="NFA12" s="513"/>
      <c r="NFB12" s="513"/>
      <c r="NFC12" s="513"/>
      <c r="NFD12" s="513"/>
      <c r="NFE12" s="513"/>
      <c r="NFF12" s="513"/>
      <c r="NFG12" s="513"/>
      <c r="NFH12" s="513"/>
      <c r="NFI12" s="513"/>
      <c r="NFJ12" s="513"/>
      <c r="NFK12" s="513"/>
      <c r="NFL12" s="513"/>
      <c r="NFM12" s="513"/>
      <c r="NFN12" s="513"/>
      <c r="NFO12" s="513"/>
      <c r="NFP12" s="513"/>
      <c r="NFQ12" s="513"/>
      <c r="NFR12" s="513"/>
      <c r="NFS12" s="513"/>
      <c r="NFT12" s="513"/>
      <c r="NFU12" s="513"/>
      <c r="NFV12" s="513"/>
      <c r="NFW12" s="513"/>
      <c r="NFX12" s="513"/>
      <c r="NFY12" s="513"/>
      <c r="NFZ12" s="513"/>
      <c r="NGA12" s="513"/>
      <c r="NGB12" s="513"/>
      <c r="NGC12" s="513"/>
      <c r="NGD12" s="513"/>
      <c r="NGE12" s="513"/>
      <c r="NGF12" s="513"/>
      <c r="NGG12" s="513"/>
      <c r="NGH12" s="513"/>
      <c r="NGI12" s="513"/>
      <c r="NGJ12" s="513"/>
      <c r="NGK12" s="513"/>
      <c r="NGL12" s="513"/>
      <c r="NGM12" s="513"/>
      <c r="NGN12" s="513"/>
      <c r="NGO12" s="513"/>
      <c r="NGP12" s="513"/>
      <c r="NGQ12" s="513"/>
      <c r="NGR12" s="513"/>
      <c r="NGS12" s="513"/>
      <c r="NGT12" s="513"/>
      <c r="NGU12" s="513"/>
      <c r="NGV12" s="513"/>
      <c r="NGW12" s="513"/>
      <c r="NGX12" s="513"/>
      <c r="NGY12" s="513"/>
      <c r="NGZ12" s="513"/>
      <c r="NHA12" s="513"/>
      <c r="NHB12" s="513"/>
      <c r="NHC12" s="513"/>
      <c r="NHD12" s="513"/>
      <c r="NHE12" s="513"/>
      <c r="NHF12" s="513"/>
      <c r="NHG12" s="513"/>
      <c r="NHH12" s="513"/>
      <c r="NHI12" s="513"/>
      <c r="NHJ12" s="513"/>
      <c r="NHK12" s="513"/>
      <c r="NHL12" s="513"/>
      <c r="NHM12" s="513"/>
      <c r="NHN12" s="513"/>
      <c r="NHO12" s="513"/>
      <c r="NHP12" s="513"/>
      <c r="NHQ12" s="513"/>
      <c r="NHR12" s="513"/>
      <c r="NHS12" s="513"/>
      <c r="NHT12" s="513"/>
      <c r="NHU12" s="513"/>
      <c r="NHV12" s="513"/>
      <c r="NHW12" s="513"/>
      <c r="NHX12" s="513"/>
      <c r="NHY12" s="513"/>
      <c r="NHZ12" s="513"/>
      <c r="NIA12" s="513"/>
      <c r="NIB12" s="513"/>
      <c r="NIC12" s="513"/>
      <c r="NID12" s="513"/>
      <c r="NIE12" s="513"/>
      <c r="NIF12" s="513"/>
      <c r="NIG12" s="513"/>
      <c r="NIH12" s="513"/>
      <c r="NII12" s="513"/>
      <c r="NIJ12" s="513"/>
      <c r="NIK12" s="513"/>
      <c r="NIL12" s="513"/>
      <c r="NIM12" s="513"/>
      <c r="NIN12" s="513"/>
      <c r="NIO12" s="513"/>
      <c r="NIP12" s="513"/>
      <c r="NIQ12" s="513"/>
      <c r="NIR12" s="513"/>
      <c r="NIS12" s="513"/>
      <c r="NIT12" s="513"/>
      <c r="NIU12" s="513"/>
      <c r="NIV12" s="513"/>
      <c r="NIW12" s="513"/>
      <c r="NIX12" s="513"/>
      <c r="NIY12" s="513"/>
      <c r="NIZ12" s="513"/>
      <c r="NJA12" s="513"/>
      <c r="NJB12" s="513"/>
      <c r="NJC12" s="513"/>
      <c r="NJD12" s="513"/>
      <c r="NJE12" s="513"/>
      <c r="NJF12" s="513"/>
      <c r="NJG12" s="513"/>
      <c r="NJH12" s="513"/>
      <c r="NJI12" s="513"/>
      <c r="NJJ12" s="513"/>
      <c r="NJK12" s="513"/>
      <c r="NJL12" s="513"/>
      <c r="NJM12" s="513"/>
      <c r="NJN12" s="513"/>
      <c r="NJO12" s="513"/>
      <c r="NJP12" s="513"/>
      <c r="NJQ12" s="513"/>
      <c r="NJR12" s="513"/>
      <c r="NJS12" s="513"/>
      <c r="NJT12" s="513"/>
      <c r="NJU12" s="513"/>
      <c r="NJV12" s="513"/>
      <c r="NJW12" s="513"/>
      <c r="NJX12" s="513"/>
      <c r="NJY12" s="513"/>
      <c r="NJZ12" s="513"/>
      <c r="NKA12" s="513"/>
      <c r="NKB12" s="513"/>
      <c r="NKC12" s="513"/>
      <c r="NKD12" s="513"/>
      <c r="NKE12" s="513"/>
      <c r="NKF12" s="513"/>
      <c r="NKG12" s="513"/>
      <c r="NKH12" s="513"/>
      <c r="NKI12" s="513"/>
      <c r="NKJ12" s="513"/>
      <c r="NKK12" s="513"/>
      <c r="NKL12" s="513"/>
      <c r="NKM12" s="513"/>
      <c r="NKN12" s="513"/>
      <c r="NKO12" s="513"/>
      <c r="NKP12" s="513"/>
      <c r="NKQ12" s="513"/>
      <c r="NKR12" s="513"/>
      <c r="NKS12" s="513"/>
      <c r="NKT12" s="513"/>
      <c r="NKU12" s="513"/>
      <c r="NKV12" s="513"/>
      <c r="NKW12" s="513"/>
      <c r="NKX12" s="513"/>
      <c r="NKY12" s="513"/>
      <c r="NKZ12" s="513"/>
      <c r="NLA12" s="513"/>
      <c r="NLB12" s="513"/>
      <c r="NLC12" s="513"/>
      <c r="NLD12" s="513"/>
      <c r="NLE12" s="513"/>
      <c r="NLF12" s="513"/>
      <c r="NLG12" s="513"/>
      <c r="NLH12" s="513"/>
      <c r="NLI12" s="513"/>
      <c r="NLJ12" s="513"/>
      <c r="NLK12" s="513"/>
      <c r="NLL12" s="513"/>
      <c r="NLM12" s="513"/>
      <c r="NLN12" s="513"/>
      <c r="NLO12" s="513"/>
      <c r="NLP12" s="513"/>
      <c r="NLQ12" s="513"/>
      <c r="NLR12" s="513"/>
      <c r="NLS12" s="513"/>
      <c r="NLT12" s="513"/>
      <c r="NLU12" s="513"/>
      <c r="NLV12" s="513"/>
      <c r="NLW12" s="513"/>
      <c r="NLX12" s="513"/>
      <c r="NLY12" s="513"/>
      <c r="NLZ12" s="513"/>
      <c r="NMA12" s="513"/>
      <c r="NMB12" s="513"/>
      <c r="NMC12" s="513"/>
      <c r="NMD12" s="513"/>
      <c r="NME12" s="513"/>
      <c r="NMF12" s="513"/>
      <c r="NMG12" s="513"/>
      <c r="NMH12" s="513"/>
      <c r="NMI12" s="513"/>
      <c r="NMJ12" s="513"/>
      <c r="NMK12" s="513"/>
      <c r="NML12" s="513"/>
      <c r="NMM12" s="513"/>
      <c r="NMN12" s="513"/>
      <c r="NMO12" s="513"/>
      <c r="NMP12" s="513"/>
      <c r="NMQ12" s="513"/>
      <c r="NMR12" s="513"/>
      <c r="NMS12" s="513"/>
      <c r="NMT12" s="513"/>
      <c r="NMU12" s="513"/>
      <c r="NMV12" s="513"/>
      <c r="NMW12" s="513"/>
      <c r="NMX12" s="513"/>
      <c r="NMY12" s="513"/>
      <c r="NMZ12" s="513"/>
      <c r="NNA12" s="513"/>
      <c r="NNB12" s="513"/>
      <c r="NNC12" s="513"/>
      <c r="NND12" s="513"/>
      <c r="NNE12" s="513"/>
      <c r="NNF12" s="513"/>
      <c r="NNG12" s="513"/>
      <c r="NNH12" s="513"/>
      <c r="NNI12" s="513"/>
      <c r="NNJ12" s="513"/>
      <c r="NNK12" s="513"/>
      <c r="NNL12" s="513"/>
      <c r="NNM12" s="513"/>
      <c r="NNN12" s="513"/>
      <c r="NNO12" s="513"/>
      <c r="NNP12" s="513"/>
      <c r="NNQ12" s="513"/>
      <c r="NNR12" s="513"/>
      <c r="NNS12" s="513"/>
      <c r="NNT12" s="513"/>
      <c r="NNU12" s="513"/>
      <c r="NNV12" s="513"/>
      <c r="NNW12" s="513"/>
      <c r="NNX12" s="513"/>
      <c r="NNY12" s="513"/>
      <c r="NNZ12" s="513"/>
      <c r="NOA12" s="513"/>
      <c r="NOB12" s="513"/>
      <c r="NOC12" s="513"/>
      <c r="NOD12" s="513"/>
      <c r="NOE12" s="513"/>
      <c r="NOF12" s="513"/>
      <c r="NOG12" s="513"/>
      <c r="NOH12" s="513"/>
      <c r="NOI12" s="513"/>
      <c r="NOJ12" s="513"/>
      <c r="NOK12" s="513"/>
      <c r="NOL12" s="513"/>
      <c r="NOM12" s="513"/>
      <c r="NON12" s="513"/>
      <c r="NOO12" s="513"/>
      <c r="NOP12" s="513"/>
      <c r="NOQ12" s="513"/>
      <c r="NOR12" s="513"/>
      <c r="NOS12" s="513"/>
      <c r="NOT12" s="513"/>
      <c r="NOU12" s="513"/>
      <c r="NOV12" s="513"/>
      <c r="NOW12" s="513"/>
      <c r="NOX12" s="513"/>
      <c r="NOY12" s="513"/>
      <c r="NOZ12" s="513"/>
      <c r="NPA12" s="513"/>
      <c r="NPB12" s="513"/>
      <c r="NPC12" s="513"/>
      <c r="NPD12" s="513"/>
      <c r="NPE12" s="513"/>
      <c r="NPF12" s="513"/>
      <c r="NPG12" s="513"/>
      <c r="NPH12" s="513"/>
      <c r="NPI12" s="513"/>
      <c r="NPJ12" s="513"/>
      <c r="NPK12" s="513"/>
      <c r="NPL12" s="513"/>
      <c r="NPM12" s="513"/>
      <c r="NPN12" s="513"/>
      <c r="NPO12" s="513"/>
      <c r="NPP12" s="513"/>
      <c r="NPQ12" s="513"/>
      <c r="NPR12" s="513"/>
      <c r="NPS12" s="513"/>
      <c r="NPT12" s="513"/>
      <c r="NPU12" s="513"/>
      <c r="NPV12" s="513"/>
      <c r="NPW12" s="513"/>
      <c r="NPX12" s="513"/>
      <c r="NPY12" s="513"/>
      <c r="NPZ12" s="513"/>
      <c r="NQA12" s="513"/>
      <c r="NQB12" s="513"/>
      <c r="NQC12" s="513"/>
      <c r="NQD12" s="513"/>
      <c r="NQE12" s="513"/>
      <c r="NQF12" s="513"/>
      <c r="NQG12" s="513"/>
      <c r="NQH12" s="513"/>
      <c r="NQI12" s="513"/>
      <c r="NQJ12" s="513"/>
      <c r="NQK12" s="513"/>
      <c r="NQL12" s="513"/>
      <c r="NQM12" s="513"/>
      <c r="NQN12" s="513"/>
      <c r="NQO12" s="513"/>
      <c r="NQP12" s="513"/>
      <c r="NQQ12" s="513"/>
      <c r="NQR12" s="513"/>
      <c r="NQS12" s="513"/>
      <c r="NQT12" s="513"/>
      <c r="NQU12" s="513"/>
      <c r="NQV12" s="513"/>
      <c r="NQW12" s="513"/>
      <c r="NQX12" s="513"/>
      <c r="NQY12" s="513"/>
      <c r="NQZ12" s="513"/>
      <c r="NRA12" s="513"/>
      <c r="NRB12" s="513"/>
      <c r="NRC12" s="513"/>
      <c r="NRD12" s="513"/>
      <c r="NRE12" s="513"/>
      <c r="NRF12" s="513"/>
      <c r="NRG12" s="513"/>
      <c r="NRH12" s="513"/>
      <c r="NRI12" s="513"/>
      <c r="NRJ12" s="513"/>
      <c r="NRK12" s="513"/>
      <c r="NRL12" s="513"/>
      <c r="NRM12" s="513"/>
      <c r="NRN12" s="513"/>
      <c r="NRO12" s="513"/>
      <c r="NRP12" s="513"/>
      <c r="NRQ12" s="513"/>
      <c r="NRR12" s="513"/>
      <c r="NRS12" s="513"/>
      <c r="NRT12" s="513"/>
      <c r="NRU12" s="513"/>
      <c r="NRV12" s="513"/>
      <c r="NRW12" s="513"/>
      <c r="NRX12" s="513"/>
      <c r="NRY12" s="513"/>
      <c r="NRZ12" s="513"/>
      <c r="NSA12" s="513"/>
      <c r="NSB12" s="513"/>
      <c r="NSC12" s="513"/>
      <c r="NSD12" s="513"/>
      <c r="NSE12" s="513"/>
      <c r="NSF12" s="513"/>
      <c r="NSG12" s="513"/>
      <c r="NSH12" s="513"/>
      <c r="NSI12" s="513"/>
      <c r="NSJ12" s="513"/>
      <c r="NSK12" s="513"/>
      <c r="NSL12" s="513"/>
      <c r="NSM12" s="513"/>
      <c r="NSN12" s="513"/>
      <c r="NSO12" s="513"/>
      <c r="NSP12" s="513"/>
      <c r="NSQ12" s="513"/>
      <c r="NSR12" s="513"/>
      <c r="NSS12" s="513"/>
      <c r="NST12" s="513"/>
      <c r="NSU12" s="513"/>
      <c r="NSV12" s="513"/>
      <c r="NSW12" s="513"/>
      <c r="NSX12" s="513"/>
      <c r="NSY12" s="513"/>
      <c r="NSZ12" s="513"/>
      <c r="NTA12" s="513"/>
      <c r="NTB12" s="513"/>
      <c r="NTC12" s="513"/>
      <c r="NTD12" s="513"/>
      <c r="NTE12" s="513"/>
      <c r="NTF12" s="513"/>
      <c r="NTG12" s="513"/>
      <c r="NTH12" s="513"/>
      <c r="NTI12" s="513"/>
      <c r="NTJ12" s="513"/>
      <c r="NTK12" s="513"/>
      <c r="NTL12" s="513"/>
      <c r="NTM12" s="513"/>
      <c r="NTN12" s="513"/>
      <c r="NTO12" s="513"/>
      <c r="NTP12" s="513"/>
      <c r="NTQ12" s="513"/>
      <c r="NTR12" s="513"/>
      <c r="NTS12" s="513"/>
      <c r="NTT12" s="513"/>
      <c r="NTU12" s="513"/>
      <c r="NTV12" s="513"/>
      <c r="NTW12" s="513"/>
      <c r="NTX12" s="513"/>
      <c r="NTY12" s="513"/>
      <c r="NTZ12" s="513"/>
      <c r="NUA12" s="513"/>
      <c r="NUB12" s="513"/>
      <c r="NUC12" s="513"/>
      <c r="NUD12" s="513"/>
      <c r="NUE12" s="513"/>
      <c r="NUF12" s="513"/>
      <c r="NUG12" s="513"/>
      <c r="NUH12" s="513"/>
      <c r="NUI12" s="513"/>
      <c r="NUJ12" s="513"/>
      <c r="NUK12" s="513"/>
      <c r="NUL12" s="513"/>
      <c r="NUM12" s="513"/>
      <c r="NUN12" s="513"/>
      <c r="NUO12" s="513"/>
      <c r="NUP12" s="513"/>
      <c r="NUQ12" s="513"/>
      <c r="NUR12" s="513"/>
      <c r="NUS12" s="513"/>
      <c r="NUT12" s="513"/>
      <c r="NUU12" s="513"/>
      <c r="NUV12" s="513"/>
      <c r="NUW12" s="513"/>
      <c r="NUX12" s="513"/>
      <c r="NUY12" s="513"/>
      <c r="NUZ12" s="513"/>
      <c r="NVA12" s="513"/>
      <c r="NVB12" s="513"/>
      <c r="NVC12" s="513"/>
      <c r="NVD12" s="513"/>
      <c r="NVE12" s="513"/>
      <c r="NVF12" s="513"/>
      <c r="NVG12" s="513"/>
      <c r="NVH12" s="513"/>
      <c r="NVI12" s="513"/>
      <c r="NVJ12" s="513"/>
      <c r="NVK12" s="513"/>
      <c r="NVL12" s="513"/>
      <c r="NVM12" s="513"/>
      <c r="NVN12" s="513"/>
      <c r="NVO12" s="513"/>
      <c r="NVP12" s="513"/>
      <c r="NVQ12" s="513"/>
      <c r="NVR12" s="513"/>
      <c r="NVS12" s="513"/>
      <c r="NVT12" s="513"/>
      <c r="NVU12" s="513"/>
      <c r="NVV12" s="513"/>
      <c r="NVW12" s="513"/>
      <c r="NVX12" s="513"/>
      <c r="NVY12" s="513"/>
      <c r="NVZ12" s="513"/>
      <c r="NWA12" s="513"/>
      <c r="NWB12" s="513"/>
      <c r="NWC12" s="513"/>
      <c r="NWD12" s="513"/>
      <c r="NWE12" s="513"/>
      <c r="NWF12" s="513"/>
      <c r="NWG12" s="513"/>
      <c r="NWH12" s="513"/>
      <c r="NWI12" s="513"/>
      <c r="NWJ12" s="513"/>
      <c r="NWK12" s="513"/>
      <c r="NWL12" s="513"/>
      <c r="NWM12" s="513"/>
      <c r="NWN12" s="513"/>
      <c r="NWO12" s="513"/>
      <c r="NWP12" s="513"/>
      <c r="NWQ12" s="513"/>
      <c r="NWR12" s="513"/>
      <c r="NWS12" s="513"/>
      <c r="NWT12" s="513"/>
      <c r="NWU12" s="513"/>
      <c r="NWV12" s="513"/>
      <c r="NWW12" s="513"/>
      <c r="NWX12" s="513"/>
      <c r="NWY12" s="513"/>
      <c r="NWZ12" s="513"/>
      <c r="NXA12" s="513"/>
      <c r="NXB12" s="513"/>
      <c r="NXC12" s="513"/>
      <c r="NXD12" s="513"/>
      <c r="NXE12" s="513"/>
      <c r="NXF12" s="513"/>
      <c r="NXG12" s="513"/>
      <c r="NXH12" s="513"/>
      <c r="NXI12" s="513"/>
      <c r="NXJ12" s="513"/>
      <c r="NXK12" s="513"/>
      <c r="NXL12" s="513"/>
      <c r="NXM12" s="513"/>
      <c r="NXN12" s="513"/>
      <c r="NXO12" s="513"/>
      <c r="NXP12" s="513"/>
      <c r="NXQ12" s="513"/>
      <c r="NXR12" s="513"/>
      <c r="NXS12" s="513"/>
      <c r="NXT12" s="513"/>
      <c r="NXU12" s="513"/>
      <c r="NXV12" s="513"/>
      <c r="NXW12" s="513"/>
      <c r="NXX12" s="513"/>
      <c r="NXY12" s="513"/>
      <c r="NXZ12" s="513"/>
      <c r="NYA12" s="513"/>
      <c r="NYB12" s="513"/>
      <c r="NYC12" s="513"/>
      <c r="NYD12" s="513"/>
      <c r="NYE12" s="513"/>
      <c r="NYF12" s="513"/>
      <c r="NYG12" s="513"/>
      <c r="NYH12" s="513"/>
      <c r="NYI12" s="513"/>
      <c r="NYJ12" s="513"/>
      <c r="NYK12" s="513"/>
      <c r="NYL12" s="513"/>
      <c r="NYM12" s="513"/>
      <c r="NYN12" s="513"/>
      <c r="NYO12" s="513"/>
      <c r="NYP12" s="513"/>
      <c r="NYQ12" s="513"/>
      <c r="NYR12" s="513"/>
      <c r="NYS12" s="513"/>
      <c r="NYT12" s="513"/>
      <c r="NYU12" s="513"/>
      <c r="NYV12" s="513"/>
      <c r="NYW12" s="513"/>
      <c r="NYX12" s="513"/>
      <c r="NYY12" s="513"/>
      <c r="NYZ12" s="513"/>
      <c r="NZA12" s="513"/>
      <c r="NZB12" s="513"/>
      <c r="NZC12" s="513"/>
      <c r="NZD12" s="513"/>
      <c r="NZE12" s="513"/>
      <c r="NZF12" s="513"/>
      <c r="NZG12" s="513"/>
      <c r="NZH12" s="513"/>
      <c r="NZI12" s="513"/>
      <c r="NZJ12" s="513"/>
      <c r="NZK12" s="513"/>
      <c r="NZL12" s="513"/>
      <c r="NZM12" s="513"/>
      <c r="NZN12" s="513"/>
      <c r="NZO12" s="513"/>
      <c r="NZP12" s="513"/>
      <c r="NZQ12" s="513"/>
      <c r="NZR12" s="513"/>
      <c r="NZS12" s="513"/>
      <c r="NZT12" s="513"/>
      <c r="NZU12" s="513"/>
      <c r="NZV12" s="513"/>
      <c r="NZW12" s="513"/>
      <c r="NZX12" s="513"/>
      <c r="NZY12" s="513"/>
      <c r="NZZ12" s="513"/>
      <c r="OAA12" s="513"/>
      <c r="OAB12" s="513"/>
      <c r="OAC12" s="513"/>
      <c r="OAD12" s="513"/>
      <c r="OAE12" s="513"/>
      <c r="OAF12" s="513"/>
      <c r="OAG12" s="513"/>
      <c r="OAH12" s="513"/>
      <c r="OAI12" s="513"/>
      <c r="OAJ12" s="513"/>
      <c r="OAK12" s="513"/>
      <c r="OAL12" s="513"/>
      <c r="OAM12" s="513"/>
      <c r="OAN12" s="513"/>
      <c r="OAO12" s="513"/>
      <c r="OAP12" s="513"/>
      <c r="OAQ12" s="513"/>
      <c r="OAR12" s="513"/>
      <c r="OAS12" s="513"/>
      <c r="OAT12" s="513"/>
      <c r="OAU12" s="513"/>
      <c r="OAV12" s="513"/>
      <c r="OAW12" s="513"/>
      <c r="OAX12" s="513"/>
      <c r="OAY12" s="513"/>
      <c r="OAZ12" s="513"/>
      <c r="OBA12" s="513"/>
      <c r="OBB12" s="513"/>
      <c r="OBC12" s="513"/>
      <c r="OBD12" s="513"/>
      <c r="OBE12" s="513"/>
      <c r="OBF12" s="513"/>
      <c r="OBG12" s="513"/>
      <c r="OBH12" s="513"/>
      <c r="OBI12" s="513"/>
      <c r="OBJ12" s="513"/>
      <c r="OBK12" s="513"/>
      <c r="OBL12" s="513"/>
      <c r="OBM12" s="513"/>
      <c r="OBN12" s="513"/>
      <c r="OBO12" s="513"/>
      <c r="OBP12" s="513"/>
      <c r="OBQ12" s="513"/>
      <c r="OBR12" s="513"/>
      <c r="OBS12" s="513"/>
      <c r="OBT12" s="513"/>
      <c r="OBU12" s="513"/>
      <c r="OBV12" s="513"/>
      <c r="OBW12" s="513"/>
      <c r="OBX12" s="513"/>
      <c r="OBY12" s="513"/>
      <c r="OBZ12" s="513"/>
      <c r="OCA12" s="513"/>
      <c r="OCB12" s="513"/>
      <c r="OCC12" s="513"/>
      <c r="OCD12" s="513"/>
      <c r="OCE12" s="513"/>
      <c r="OCF12" s="513"/>
      <c r="OCG12" s="513"/>
      <c r="OCH12" s="513"/>
      <c r="OCI12" s="513"/>
      <c r="OCJ12" s="513"/>
      <c r="OCK12" s="513"/>
      <c r="OCL12" s="513"/>
      <c r="OCM12" s="513"/>
      <c r="OCN12" s="513"/>
      <c r="OCO12" s="513"/>
      <c r="OCP12" s="513"/>
      <c r="OCQ12" s="513"/>
      <c r="OCR12" s="513"/>
      <c r="OCS12" s="513"/>
      <c r="OCT12" s="513"/>
      <c r="OCU12" s="513"/>
      <c r="OCV12" s="513"/>
      <c r="OCW12" s="513"/>
      <c r="OCX12" s="513"/>
      <c r="OCY12" s="513"/>
      <c r="OCZ12" s="513"/>
      <c r="ODA12" s="513"/>
      <c r="ODB12" s="513"/>
      <c r="ODC12" s="513"/>
      <c r="ODD12" s="513"/>
      <c r="ODE12" s="513"/>
      <c r="ODF12" s="513"/>
      <c r="ODG12" s="513"/>
      <c r="ODH12" s="513"/>
      <c r="ODI12" s="513"/>
      <c r="ODJ12" s="513"/>
      <c r="ODK12" s="513"/>
      <c r="ODL12" s="513"/>
      <c r="ODM12" s="513"/>
      <c r="ODN12" s="513"/>
      <c r="ODO12" s="513"/>
      <c r="ODP12" s="513"/>
      <c r="ODQ12" s="513"/>
      <c r="ODR12" s="513"/>
      <c r="ODS12" s="513"/>
      <c r="ODT12" s="513"/>
      <c r="ODU12" s="513"/>
      <c r="ODV12" s="513"/>
      <c r="ODW12" s="513"/>
      <c r="ODX12" s="513"/>
      <c r="ODY12" s="513"/>
      <c r="ODZ12" s="513"/>
      <c r="OEA12" s="513"/>
      <c r="OEB12" s="513"/>
      <c r="OEC12" s="513"/>
      <c r="OED12" s="513"/>
      <c r="OEE12" s="513"/>
      <c r="OEF12" s="513"/>
      <c r="OEG12" s="513"/>
      <c r="OEH12" s="513"/>
      <c r="OEI12" s="513"/>
      <c r="OEJ12" s="513"/>
      <c r="OEK12" s="513"/>
      <c r="OEL12" s="513"/>
      <c r="OEM12" s="513"/>
      <c r="OEN12" s="513"/>
      <c r="OEO12" s="513"/>
      <c r="OEP12" s="513"/>
      <c r="OEQ12" s="513"/>
      <c r="OER12" s="513"/>
      <c r="OES12" s="513"/>
      <c r="OET12" s="513"/>
      <c r="OEU12" s="513"/>
      <c r="OEV12" s="513"/>
      <c r="OEW12" s="513"/>
      <c r="OEX12" s="513"/>
      <c r="OEY12" s="513"/>
      <c r="OEZ12" s="513"/>
      <c r="OFA12" s="513"/>
      <c r="OFB12" s="513"/>
      <c r="OFC12" s="513"/>
      <c r="OFD12" s="513"/>
      <c r="OFE12" s="513"/>
      <c r="OFF12" s="513"/>
      <c r="OFG12" s="513"/>
      <c r="OFH12" s="513"/>
      <c r="OFI12" s="513"/>
      <c r="OFJ12" s="513"/>
      <c r="OFK12" s="513"/>
      <c r="OFL12" s="513"/>
      <c r="OFM12" s="513"/>
      <c r="OFN12" s="513"/>
      <c r="OFO12" s="513"/>
      <c r="OFP12" s="513"/>
      <c r="OFQ12" s="513"/>
      <c r="OFR12" s="513"/>
      <c r="OFS12" s="513"/>
      <c r="OFT12" s="513"/>
      <c r="OFU12" s="513"/>
      <c r="OFV12" s="513"/>
      <c r="OFW12" s="513"/>
      <c r="OFX12" s="513"/>
      <c r="OFY12" s="513"/>
      <c r="OFZ12" s="513"/>
      <c r="OGA12" s="513"/>
      <c r="OGB12" s="513"/>
      <c r="OGC12" s="513"/>
      <c r="OGD12" s="513"/>
      <c r="OGE12" s="513"/>
      <c r="OGF12" s="513"/>
      <c r="OGG12" s="513"/>
      <c r="OGH12" s="513"/>
      <c r="OGI12" s="513"/>
      <c r="OGJ12" s="513"/>
      <c r="OGK12" s="513"/>
      <c r="OGL12" s="513"/>
      <c r="OGM12" s="513"/>
      <c r="OGN12" s="513"/>
      <c r="OGO12" s="513"/>
      <c r="OGP12" s="513"/>
      <c r="OGQ12" s="513"/>
      <c r="OGR12" s="513"/>
      <c r="OGS12" s="513"/>
      <c r="OGT12" s="513"/>
      <c r="OGU12" s="513"/>
      <c r="OGV12" s="513"/>
      <c r="OGW12" s="513"/>
      <c r="OGX12" s="513"/>
      <c r="OGY12" s="513"/>
      <c r="OGZ12" s="513"/>
      <c r="OHA12" s="513"/>
      <c r="OHB12" s="513"/>
      <c r="OHC12" s="513"/>
      <c r="OHD12" s="513"/>
      <c r="OHE12" s="513"/>
      <c r="OHF12" s="513"/>
      <c r="OHG12" s="513"/>
      <c r="OHH12" s="513"/>
      <c r="OHI12" s="513"/>
      <c r="OHJ12" s="513"/>
      <c r="OHK12" s="513"/>
      <c r="OHL12" s="513"/>
      <c r="OHM12" s="513"/>
      <c r="OHN12" s="513"/>
      <c r="OHO12" s="513"/>
      <c r="OHP12" s="513"/>
      <c r="OHQ12" s="513"/>
      <c r="OHR12" s="513"/>
      <c r="OHS12" s="513"/>
      <c r="OHT12" s="513"/>
      <c r="OHU12" s="513"/>
      <c r="OHV12" s="513"/>
      <c r="OHW12" s="513"/>
      <c r="OHX12" s="513"/>
      <c r="OHY12" s="513"/>
      <c r="OHZ12" s="513"/>
      <c r="OIA12" s="513"/>
      <c r="OIB12" s="513"/>
      <c r="OIC12" s="513"/>
      <c r="OID12" s="513"/>
      <c r="OIE12" s="513"/>
      <c r="OIF12" s="513"/>
      <c r="OIG12" s="513"/>
      <c r="OIH12" s="513"/>
      <c r="OII12" s="513"/>
      <c r="OIJ12" s="513"/>
      <c r="OIK12" s="513"/>
      <c r="OIL12" s="513"/>
      <c r="OIM12" s="513"/>
      <c r="OIN12" s="513"/>
      <c r="OIO12" s="513"/>
      <c r="OIP12" s="513"/>
      <c r="OIQ12" s="513"/>
      <c r="OIR12" s="513"/>
      <c r="OIS12" s="513"/>
      <c r="OIT12" s="513"/>
      <c r="OIU12" s="513"/>
      <c r="OIV12" s="513"/>
      <c r="OIW12" s="513"/>
      <c r="OIX12" s="513"/>
      <c r="OIY12" s="513"/>
      <c r="OIZ12" s="513"/>
      <c r="OJA12" s="513"/>
      <c r="OJB12" s="513"/>
      <c r="OJC12" s="513"/>
      <c r="OJD12" s="513"/>
      <c r="OJE12" s="513"/>
      <c r="OJF12" s="513"/>
      <c r="OJG12" s="513"/>
      <c r="OJH12" s="513"/>
      <c r="OJI12" s="513"/>
      <c r="OJJ12" s="513"/>
      <c r="OJK12" s="513"/>
      <c r="OJL12" s="513"/>
      <c r="OJM12" s="513"/>
      <c r="OJN12" s="513"/>
      <c r="OJO12" s="513"/>
      <c r="OJP12" s="513"/>
      <c r="OJQ12" s="513"/>
      <c r="OJR12" s="513"/>
      <c r="OJS12" s="513"/>
      <c r="OJT12" s="513"/>
      <c r="OJU12" s="513"/>
      <c r="OJV12" s="513"/>
      <c r="OJW12" s="513"/>
      <c r="OJX12" s="513"/>
      <c r="OJY12" s="513"/>
      <c r="OJZ12" s="513"/>
      <c r="OKA12" s="513"/>
      <c r="OKB12" s="513"/>
      <c r="OKC12" s="513"/>
      <c r="OKD12" s="513"/>
      <c r="OKE12" s="513"/>
      <c r="OKF12" s="513"/>
      <c r="OKG12" s="513"/>
      <c r="OKH12" s="513"/>
      <c r="OKI12" s="513"/>
      <c r="OKJ12" s="513"/>
      <c r="OKK12" s="513"/>
      <c r="OKL12" s="513"/>
      <c r="OKM12" s="513"/>
      <c r="OKN12" s="513"/>
      <c r="OKO12" s="513"/>
      <c r="OKP12" s="513"/>
      <c r="OKQ12" s="513"/>
      <c r="OKR12" s="513"/>
      <c r="OKS12" s="513"/>
      <c r="OKT12" s="513"/>
      <c r="OKU12" s="513"/>
      <c r="OKV12" s="513"/>
      <c r="OKW12" s="513"/>
      <c r="OKX12" s="513"/>
      <c r="OKY12" s="513"/>
      <c r="OKZ12" s="513"/>
      <c r="OLA12" s="513"/>
      <c r="OLB12" s="513"/>
      <c r="OLC12" s="513"/>
      <c r="OLD12" s="513"/>
      <c r="OLE12" s="513"/>
      <c r="OLF12" s="513"/>
      <c r="OLG12" s="513"/>
      <c r="OLH12" s="513"/>
      <c r="OLI12" s="513"/>
      <c r="OLJ12" s="513"/>
      <c r="OLK12" s="513"/>
      <c r="OLL12" s="513"/>
      <c r="OLM12" s="513"/>
      <c r="OLN12" s="513"/>
      <c r="OLO12" s="513"/>
      <c r="OLP12" s="513"/>
      <c r="OLQ12" s="513"/>
      <c r="OLR12" s="513"/>
      <c r="OLS12" s="513"/>
      <c r="OLT12" s="513"/>
      <c r="OLU12" s="513"/>
      <c r="OLV12" s="513"/>
      <c r="OLW12" s="513"/>
      <c r="OLX12" s="513"/>
      <c r="OLY12" s="513"/>
      <c r="OLZ12" s="513"/>
      <c r="OMA12" s="513"/>
      <c r="OMB12" s="513"/>
      <c r="OMC12" s="513"/>
      <c r="OMD12" s="513"/>
      <c r="OME12" s="513"/>
      <c r="OMF12" s="513"/>
      <c r="OMG12" s="513"/>
      <c r="OMH12" s="513"/>
      <c r="OMI12" s="513"/>
      <c r="OMJ12" s="513"/>
      <c r="OMK12" s="513"/>
      <c r="OML12" s="513"/>
      <c r="OMM12" s="513"/>
      <c r="OMN12" s="513"/>
      <c r="OMO12" s="513"/>
      <c r="OMP12" s="513"/>
      <c r="OMQ12" s="513"/>
      <c r="OMR12" s="513"/>
      <c r="OMS12" s="513"/>
      <c r="OMT12" s="513"/>
      <c r="OMU12" s="513"/>
      <c r="OMV12" s="513"/>
      <c r="OMW12" s="513"/>
      <c r="OMX12" s="513"/>
      <c r="OMY12" s="513"/>
      <c r="OMZ12" s="513"/>
      <c r="ONA12" s="513"/>
      <c r="ONB12" s="513"/>
      <c r="ONC12" s="513"/>
      <c r="OND12" s="513"/>
      <c r="ONE12" s="513"/>
      <c r="ONF12" s="513"/>
      <c r="ONG12" s="513"/>
      <c r="ONH12" s="513"/>
      <c r="ONI12" s="513"/>
      <c r="ONJ12" s="513"/>
      <c r="ONK12" s="513"/>
      <c r="ONL12" s="513"/>
      <c r="ONM12" s="513"/>
      <c r="ONN12" s="513"/>
      <c r="ONO12" s="513"/>
      <c r="ONP12" s="513"/>
      <c r="ONQ12" s="513"/>
      <c r="ONR12" s="513"/>
      <c r="ONS12" s="513"/>
      <c r="ONT12" s="513"/>
      <c r="ONU12" s="513"/>
      <c r="ONV12" s="513"/>
      <c r="ONW12" s="513"/>
      <c r="ONX12" s="513"/>
      <c r="ONY12" s="513"/>
      <c r="ONZ12" s="513"/>
      <c r="OOA12" s="513"/>
      <c r="OOB12" s="513"/>
      <c r="OOC12" s="513"/>
      <c r="OOD12" s="513"/>
      <c r="OOE12" s="513"/>
      <c r="OOF12" s="513"/>
      <c r="OOG12" s="513"/>
      <c r="OOH12" s="513"/>
      <c r="OOI12" s="513"/>
      <c r="OOJ12" s="513"/>
      <c r="OOK12" s="513"/>
      <c r="OOL12" s="513"/>
      <c r="OOM12" s="513"/>
      <c r="OON12" s="513"/>
      <c r="OOO12" s="513"/>
      <c r="OOP12" s="513"/>
      <c r="OOQ12" s="513"/>
      <c r="OOR12" s="513"/>
      <c r="OOS12" s="513"/>
      <c r="OOT12" s="513"/>
      <c r="OOU12" s="513"/>
      <c r="OOV12" s="513"/>
      <c r="OOW12" s="513"/>
      <c r="OOX12" s="513"/>
      <c r="OOY12" s="513"/>
      <c r="OOZ12" s="513"/>
      <c r="OPA12" s="513"/>
      <c r="OPB12" s="513"/>
      <c r="OPC12" s="513"/>
      <c r="OPD12" s="513"/>
      <c r="OPE12" s="513"/>
      <c r="OPF12" s="513"/>
      <c r="OPG12" s="513"/>
      <c r="OPH12" s="513"/>
      <c r="OPI12" s="513"/>
      <c r="OPJ12" s="513"/>
      <c r="OPK12" s="513"/>
      <c r="OPL12" s="513"/>
      <c r="OPM12" s="513"/>
      <c r="OPN12" s="513"/>
      <c r="OPO12" s="513"/>
      <c r="OPP12" s="513"/>
      <c r="OPQ12" s="513"/>
      <c r="OPR12" s="513"/>
      <c r="OPS12" s="513"/>
      <c r="OPT12" s="513"/>
      <c r="OPU12" s="513"/>
      <c r="OPV12" s="513"/>
      <c r="OPW12" s="513"/>
      <c r="OPX12" s="513"/>
      <c r="OPY12" s="513"/>
      <c r="OPZ12" s="513"/>
      <c r="OQA12" s="513"/>
      <c r="OQB12" s="513"/>
      <c r="OQC12" s="513"/>
      <c r="OQD12" s="513"/>
      <c r="OQE12" s="513"/>
      <c r="OQF12" s="513"/>
      <c r="OQG12" s="513"/>
      <c r="OQH12" s="513"/>
      <c r="OQI12" s="513"/>
      <c r="OQJ12" s="513"/>
      <c r="OQK12" s="513"/>
      <c r="OQL12" s="513"/>
      <c r="OQM12" s="513"/>
      <c r="OQN12" s="513"/>
      <c r="OQO12" s="513"/>
      <c r="OQP12" s="513"/>
      <c r="OQQ12" s="513"/>
      <c r="OQR12" s="513"/>
      <c r="OQS12" s="513"/>
      <c r="OQT12" s="513"/>
      <c r="OQU12" s="513"/>
      <c r="OQV12" s="513"/>
      <c r="OQW12" s="513"/>
      <c r="OQX12" s="513"/>
      <c r="OQY12" s="513"/>
      <c r="OQZ12" s="513"/>
      <c r="ORA12" s="513"/>
      <c r="ORB12" s="513"/>
      <c r="ORC12" s="513"/>
      <c r="ORD12" s="513"/>
      <c r="ORE12" s="513"/>
      <c r="ORF12" s="513"/>
      <c r="ORG12" s="513"/>
      <c r="ORH12" s="513"/>
      <c r="ORI12" s="513"/>
      <c r="ORJ12" s="513"/>
      <c r="ORK12" s="513"/>
      <c r="ORL12" s="513"/>
      <c r="ORM12" s="513"/>
      <c r="ORN12" s="513"/>
      <c r="ORO12" s="513"/>
      <c r="ORP12" s="513"/>
      <c r="ORQ12" s="513"/>
      <c r="ORR12" s="513"/>
      <c r="ORS12" s="513"/>
      <c r="ORT12" s="513"/>
      <c r="ORU12" s="513"/>
      <c r="ORV12" s="513"/>
      <c r="ORW12" s="513"/>
      <c r="ORX12" s="513"/>
      <c r="ORY12" s="513"/>
      <c r="ORZ12" s="513"/>
      <c r="OSA12" s="513"/>
      <c r="OSB12" s="513"/>
      <c r="OSC12" s="513"/>
      <c r="OSD12" s="513"/>
      <c r="OSE12" s="513"/>
      <c r="OSF12" s="513"/>
      <c r="OSG12" s="513"/>
      <c r="OSH12" s="513"/>
      <c r="OSI12" s="513"/>
      <c r="OSJ12" s="513"/>
      <c r="OSK12" s="513"/>
      <c r="OSL12" s="513"/>
      <c r="OSM12" s="513"/>
      <c r="OSN12" s="513"/>
      <c r="OSO12" s="513"/>
      <c r="OSP12" s="513"/>
      <c r="OSQ12" s="513"/>
      <c r="OSR12" s="513"/>
      <c r="OSS12" s="513"/>
      <c r="OST12" s="513"/>
      <c r="OSU12" s="513"/>
      <c r="OSV12" s="513"/>
      <c r="OSW12" s="513"/>
      <c r="OSX12" s="513"/>
      <c r="OSY12" s="513"/>
      <c r="OSZ12" s="513"/>
      <c r="OTA12" s="513"/>
      <c r="OTB12" s="513"/>
      <c r="OTC12" s="513"/>
      <c r="OTD12" s="513"/>
      <c r="OTE12" s="513"/>
      <c r="OTF12" s="513"/>
      <c r="OTG12" s="513"/>
      <c r="OTH12" s="513"/>
      <c r="OTI12" s="513"/>
      <c r="OTJ12" s="513"/>
      <c r="OTK12" s="513"/>
      <c r="OTL12" s="513"/>
      <c r="OTM12" s="513"/>
      <c r="OTN12" s="513"/>
      <c r="OTO12" s="513"/>
      <c r="OTP12" s="513"/>
      <c r="OTQ12" s="513"/>
      <c r="OTR12" s="513"/>
      <c r="OTS12" s="513"/>
      <c r="OTT12" s="513"/>
      <c r="OTU12" s="513"/>
      <c r="OTV12" s="513"/>
      <c r="OTW12" s="513"/>
      <c r="OTX12" s="513"/>
      <c r="OTY12" s="513"/>
      <c r="OTZ12" s="513"/>
      <c r="OUA12" s="513"/>
      <c r="OUB12" s="513"/>
      <c r="OUC12" s="513"/>
      <c r="OUD12" s="513"/>
      <c r="OUE12" s="513"/>
      <c r="OUF12" s="513"/>
      <c r="OUG12" s="513"/>
      <c r="OUH12" s="513"/>
      <c r="OUI12" s="513"/>
      <c r="OUJ12" s="513"/>
      <c r="OUK12" s="513"/>
      <c r="OUL12" s="513"/>
      <c r="OUM12" s="513"/>
      <c r="OUN12" s="513"/>
      <c r="OUO12" s="513"/>
      <c r="OUP12" s="513"/>
      <c r="OUQ12" s="513"/>
      <c r="OUR12" s="513"/>
      <c r="OUS12" s="513"/>
      <c r="OUT12" s="513"/>
      <c r="OUU12" s="513"/>
      <c r="OUV12" s="513"/>
      <c r="OUW12" s="513"/>
      <c r="OUX12" s="513"/>
      <c r="OUY12" s="513"/>
      <c r="OUZ12" s="513"/>
      <c r="OVA12" s="513"/>
      <c r="OVB12" s="513"/>
      <c r="OVC12" s="513"/>
      <c r="OVD12" s="513"/>
      <c r="OVE12" s="513"/>
      <c r="OVF12" s="513"/>
      <c r="OVG12" s="513"/>
      <c r="OVH12" s="513"/>
      <c r="OVI12" s="513"/>
      <c r="OVJ12" s="513"/>
      <c r="OVK12" s="513"/>
      <c r="OVL12" s="513"/>
      <c r="OVM12" s="513"/>
      <c r="OVN12" s="513"/>
      <c r="OVO12" s="513"/>
      <c r="OVP12" s="513"/>
      <c r="OVQ12" s="513"/>
      <c r="OVR12" s="513"/>
      <c r="OVS12" s="513"/>
      <c r="OVT12" s="513"/>
      <c r="OVU12" s="513"/>
      <c r="OVV12" s="513"/>
      <c r="OVW12" s="513"/>
      <c r="OVX12" s="513"/>
      <c r="OVY12" s="513"/>
      <c r="OVZ12" s="513"/>
      <c r="OWA12" s="513"/>
      <c r="OWB12" s="513"/>
      <c r="OWC12" s="513"/>
      <c r="OWD12" s="513"/>
      <c r="OWE12" s="513"/>
      <c r="OWF12" s="513"/>
      <c r="OWG12" s="513"/>
      <c r="OWH12" s="513"/>
      <c r="OWI12" s="513"/>
      <c r="OWJ12" s="513"/>
      <c r="OWK12" s="513"/>
      <c r="OWL12" s="513"/>
      <c r="OWM12" s="513"/>
      <c r="OWN12" s="513"/>
      <c r="OWO12" s="513"/>
      <c r="OWP12" s="513"/>
      <c r="OWQ12" s="513"/>
      <c r="OWR12" s="513"/>
      <c r="OWS12" s="513"/>
      <c r="OWT12" s="513"/>
      <c r="OWU12" s="513"/>
      <c r="OWV12" s="513"/>
      <c r="OWW12" s="513"/>
      <c r="OWX12" s="513"/>
      <c r="OWY12" s="513"/>
      <c r="OWZ12" s="513"/>
      <c r="OXA12" s="513"/>
      <c r="OXB12" s="513"/>
      <c r="OXC12" s="513"/>
      <c r="OXD12" s="513"/>
      <c r="OXE12" s="513"/>
      <c r="OXF12" s="513"/>
      <c r="OXG12" s="513"/>
      <c r="OXH12" s="513"/>
      <c r="OXI12" s="513"/>
      <c r="OXJ12" s="513"/>
      <c r="OXK12" s="513"/>
      <c r="OXL12" s="513"/>
      <c r="OXM12" s="513"/>
      <c r="OXN12" s="513"/>
      <c r="OXO12" s="513"/>
      <c r="OXP12" s="513"/>
      <c r="OXQ12" s="513"/>
      <c r="OXR12" s="513"/>
      <c r="OXS12" s="513"/>
      <c r="OXT12" s="513"/>
      <c r="OXU12" s="513"/>
      <c r="OXV12" s="513"/>
      <c r="OXW12" s="513"/>
      <c r="OXX12" s="513"/>
      <c r="OXY12" s="513"/>
      <c r="OXZ12" s="513"/>
      <c r="OYA12" s="513"/>
      <c r="OYB12" s="513"/>
      <c r="OYC12" s="513"/>
      <c r="OYD12" s="513"/>
      <c r="OYE12" s="513"/>
      <c r="OYF12" s="513"/>
      <c r="OYG12" s="513"/>
      <c r="OYH12" s="513"/>
      <c r="OYI12" s="513"/>
      <c r="OYJ12" s="513"/>
      <c r="OYK12" s="513"/>
      <c r="OYL12" s="513"/>
      <c r="OYM12" s="513"/>
      <c r="OYN12" s="513"/>
      <c r="OYO12" s="513"/>
      <c r="OYP12" s="513"/>
      <c r="OYQ12" s="513"/>
      <c r="OYR12" s="513"/>
      <c r="OYS12" s="513"/>
      <c r="OYT12" s="513"/>
      <c r="OYU12" s="513"/>
      <c r="OYV12" s="513"/>
      <c r="OYW12" s="513"/>
      <c r="OYX12" s="513"/>
      <c r="OYY12" s="513"/>
      <c r="OYZ12" s="513"/>
      <c r="OZA12" s="513"/>
      <c r="OZB12" s="513"/>
      <c r="OZC12" s="513"/>
      <c r="OZD12" s="513"/>
      <c r="OZE12" s="513"/>
      <c r="OZF12" s="513"/>
      <c r="OZG12" s="513"/>
      <c r="OZH12" s="513"/>
      <c r="OZI12" s="513"/>
      <c r="OZJ12" s="513"/>
      <c r="OZK12" s="513"/>
      <c r="OZL12" s="513"/>
      <c r="OZM12" s="513"/>
      <c r="OZN12" s="513"/>
      <c r="OZO12" s="513"/>
      <c r="OZP12" s="513"/>
      <c r="OZQ12" s="513"/>
      <c r="OZR12" s="513"/>
      <c r="OZS12" s="513"/>
      <c r="OZT12" s="513"/>
      <c r="OZU12" s="513"/>
      <c r="OZV12" s="513"/>
      <c r="OZW12" s="513"/>
      <c r="OZX12" s="513"/>
      <c r="OZY12" s="513"/>
      <c r="OZZ12" s="513"/>
      <c r="PAA12" s="513"/>
      <c r="PAB12" s="513"/>
      <c r="PAC12" s="513"/>
      <c r="PAD12" s="513"/>
      <c r="PAE12" s="513"/>
      <c r="PAF12" s="513"/>
      <c r="PAG12" s="513"/>
      <c r="PAH12" s="513"/>
      <c r="PAI12" s="513"/>
      <c r="PAJ12" s="513"/>
      <c r="PAK12" s="513"/>
      <c r="PAL12" s="513"/>
      <c r="PAM12" s="513"/>
      <c r="PAN12" s="513"/>
      <c r="PAO12" s="513"/>
      <c r="PAP12" s="513"/>
      <c r="PAQ12" s="513"/>
      <c r="PAR12" s="513"/>
      <c r="PAS12" s="513"/>
      <c r="PAT12" s="513"/>
      <c r="PAU12" s="513"/>
      <c r="PAV12" s="513"/>
      <c r="PAW12" s="513"/>
      <c r="PAX12" s="513"/>
      <c r="PAY12" s="513"/>
      <c r="PAZ12" s="513"/>
      <c r="PBA12" s="513"/>
      <c r="PBB12" s="513"/>
      <c r="PBC12" s="513"/>
      <c r="PBD12" s="513"/>
      <c r="PBE12" s="513"/>
      <c r="PBF12" s="513"/>
      <c r="PBG12" s="513"/>
      <c r="PBH12" s="513"/>
      <c r="PBI12" s="513"/>
      <c r="PBJ12" s="513"/>
      <c r="PBK12" s="513"/>
      <c r="PBL12" s="513"/>
      <c r="PBM12" s="513"/>
      <c r="PBN12" s="513"/>
      <c r="PBO12" s="513"/>
      <c r="PBP12" s="513"/>
      <c r="PBQ12" s="513"/>
      <c r="PBR12" s="513"/>
      <c r="PBS12" s="513"/>
      <c r="PBT12" s="513"/>
      <c r="PBU12" s="513"/>
      <c r="PBV12" s="513"/>
      <c r="PBW12" s="513"/>
      <c r="PBX12" s="513"/>
      <c r="PBY12" s="513"/>
      <c r="PBZ12" s="513"/>
      <c r="PCA12" s="513"/>
      <c r="PCB12" s="513"/>
      <c r="PCC12" s="513"/>
      <c r="PCD12" s="513"/>
      <c r="PCE12" s="513"/>
      <c r="PCF12" s="513"/>
      <c r="PCG12" s="513"/>
      <c r="PCH12" s="513"/>
      <c r="PCI12" s="513"/>
      <c r="PCJ12" s="513"/>
      <c r="PCK12" s="513"/>
      <c r="PCL12" s="513"/>
      <c r="PCM12" s="513"/>
      <c r="PCN12" s="513"/>
      <c r="PCO12" s="513"/>
      <c r="PCP12" s="513"/>
      <c r="PCQ12" s="513"/>
      <c r="PCR12" s="513"/>
      <c r="PCS12" s="513"/>
      <c r="PCT12" s="513"/>
      <c r="PCU12" s="513"/>
      <c r="PCV12" s="513"/>
      <c r="PCW12" s="513"/>
      <c r="PCX12" s="513"/>
      <c r="PCY12" s="513"/>
      <c r="PCZ12" s="513"/>
      <c r="PDA12" s="513"/>
      <c r="PDB12" s="513"/>
      <c r="PDC12" s="513"/>
      <c r="PDD12" s="513"/>
      <c r="PDE12" s="513"/>
      <c r="PDF12" s="513"/>
      <c r="PDG12" s="513"/>
      <c r="PDH12" s="513"/>
      <c r="PDI12" s="513"/>
      <c r="PDJ12" s="513"/>
      <c r="PDK12" s="513"/>
      <c r="PDL12" s="513"/>
      <c r="PDM12" s="513"/>
      <c r="PDN12" s="513"/>
      <c r="PDO12" s="513"/>
      <c r="PDP12" s="513"/>
      <c r="PDQ12" s="513"/>
      <c r="PDR12" s="513"/>
      <c r="PDS12" s="513"/>
      <c r="PDT12" s="513"/>
      <c r="PDU12" s="513"/>
      <c r="PDV12" s="513"/>
      <c r="PDW12" s="513"/>
      <c r="PDX12" s="513"/>
      <c r="PDY12" s="513"/>
      <c r="PDZ12" s="513"/>
      <c r="PEA12" s="513"/>
      <c r="PEB12" s="513"/>
      <c r="PEC12" s="513"/>
      <c r="PED12" s="513"/>
      <c r="PEE12" s="513"/>
      <c r="PEF12" s="513"/>
      <c r="PEG12" s="513"/>
      <c r="PEH12" s="513"/>
      <c r="PEI12" s="513"/>
      <c r="PEJ12" s="513"/>
      <c r="PEK12" s="513"/>
      <c r="PEL12" s="513"/>
      <c r="PEM12" s="513"/>
      <c r="PEN12" s="513"/>
      <c r="PEO12" s="513"/>
      <c r="PEP12" s="513"/>
      <c r="PEQ12" s="513"/>
      <c r="PER12" s="513"/>
      <c r="PES12" s="513"/>
      <c r="PET12" s="513"/>
      <c r="PEU12" s="513"/>
      <c r="PEV12" s="513"/>
      <c r="PEW12" s="513"/>
      <c r="PEX12" s="513"/>
      <c r="PEY12" s="513"/>
      <c r="PEZ12" s="513"/>
      <c r="PFA12" s="513"/>
      <c r="PFB12" s="513"/>
      <c r="PFC12" s="513"/>
      <c r="PFD12" s="513"/>
      <c r="PFE12" s="513"/>
      <c r="PFF12" s="513"/>
      <c r="PFG12" s="513"/>
      <c r="PFH12" s="513"/>
      <c r="PFI12" s="513"/>
      <c r="PFJ12" s="513"/>
      <c r="PFK12" s="513"/>
      <c r="PFL12" s="513"/>
      <c r="PFM12" s="513"/>
      <c r="PFN12" s="513"/>
      <c r="PFO12" s="513"/>
      <c r="PFP12" s="513"/>
      <c r="PFQ12" s="513"/>
      <c r="PFR12" s="513"/>
      <c r="PFS12" s="513"/>
      <c r="PFT12" s="513"/>
      <c r="PFU12" s="513"/>
      <c r="PFV12" s="513"/>
      <c r="PFW12" s="513"/>
      <c r="PFX12" s="513"/>
      <c r="PFY12" s="513"/>
      <c r="PFZ12" s="513"/>
      <c r="PGA12" s="513"/>
      <c r="PGB12" s="513"/>
      <c r="PGC12" s="513"/>
      <c r="PGD12" s="513"/>
      <c r="PGE12" s="513"/>
      <c r="PGF12" s="513"/>
      <c r="PGG12" s="513"/>
      <c r="PGH12" s="513"/>
      <c r="PGI12" s="513"/>
      <c r="PGJ12" s="513"/>
      <c r="PGK12" s="513"/>
      <c r="PGL12" s="513"/>
      <c r="PGM12" s="513"/>
      <c r="PGN12" s="513"/>
      <c r="PGO12" s="513"/>
      <c r="PGP12" s="513"/>
      <c r="PGQ12" s="513"/>
      <c r="PGR12" s="513"/>
      <c r="PGS12" s="513"/>
      <c r="PGT12" s="513"/>
      <c r="PGU12" s="513"/>
      <c r="PGV12" s="513"/>
      <c r="PGW12" s="513"/>
      <c r="PGX12" s="513"/>
      <c r="PGY12" s="513"/>
      <c r="PGZ12" s="513"/>
      <c r="PHA12" s="513"/>
      <c r="PHB12" s="513"/>
      <c r="PHC12" s="513"/>
      <c r="PHD12" s="513"/>
      <c r="PHE12" s="513"/>
      <c r="PHF12" s="513"/>
      <c r="PHG12" s="513"/>
      <c r="PHH12" s="513"/>
      <c r="PHI12" s="513"/>
      <c r="PHJ12" s="513"/>
      <c r="PHK12" s="513"/>
      <c r="PHL12" s="513"/>
      <c r="PHM12" s="513"/>
      <c r="PHN12" s="513"/>
      <c r="PHO12" s="513"/>
      <c r="PHP12" s="513"/>
      <c r="PHQ12" s="513"/>
      <c r="PHR12" s="513"/>
      <c r="PHS12" s="513"/>
      <c r="PHT12" s="513"/>
      <c r="PHU12" s="513"/>
      <c r="PHV12" s="513"/>
      <c r="PHW12" s="513"/>
      <c r="PHX12" s="513"/>
      <c r="PHY12" s="513"/>
      <c r="PHZ12" s="513"/>
      <c r="PIA12" s="513"/>
      <c r="PIB12" s="513"/>
      <c r="PIC12" s="513"/>
      <c r="PID12" s="513"/>
      <c r="PIE12" s="513"/>
      <c r="PIF12" s="513"/>
      <c r="PIG12" s="513"/>
      <c r="PIH12" s="513"/>
      <c r="PII12" s="513"/>
      <c r="PIJ12" s="513"/>
      <c r="PIK12" s="513"/>
      <c r="PIL12" s="513"/>
      <c r="PIM12" s="513"/>
      <c r="PIN12" s="513"/>
      <c r="PIO12" s="513"/>
      <c r="PIP12" s="513"/>
      <c r="PIQ12" s="513"/>
      <c r="PIR12" s="513"/>
      <c r="PIS12" s="513"/>
      <c r="PIT12" s="513"/>
      <c r="PIU12" s="513"/>
      <c r="PIV12" s="513"/>
      <c r="PIW12" s="513"/>
      <c r="PIX12" s="513"/>
      <c r="PIY12" s="513"/>
      <c r="PIZ12" s="513"/>
      <c r="PJA12" s="513"/>
      <c r="PJB12" s="513"/>
      <c r="PJC12" s="513"/>
      <c r="PJD12" s="513"/>
      <c r="PJE12" s="513"/>
      <c r="PJF12" s="513"/>
      <c r="PJG12" s="513"/>
      <c r="PJH12" s="513"/>
      <c r="PJI12" s="513"/>
      <c r="PJJ12" s="513"/>
      <c r="PJK12" s="513"/>
      <c r="PJL12" s="513"/>
      <c r="PJM12" s="513"/>
      <c r="PJN12" s="513"/>
      <c r="PJO12" s="513"/>
      <c r="PJP12" s="513"/>
      <c r="PJQ12" s="513"/>
      <c r="PJR12" s="513"/>
      <c r="PJS12" s="513"/>
      <c r="PJT12" s="513"/>
      <c r="PJU12" s="513"/>
      <c r="PJV12" s="513"/>
      <c r="PJW12" s="513"/>
      <c r="PJX12" s="513"/>
      <c r="PJY12" s="513"/>
      <c r="PJZ12" s="513"/>
      <c r="PKA12" s="513"/>
      <c r="PKB12" s="513"/>
      <c r="PKC12" s="513"/>
      <c r="PKD12" s="513"/>
      <c r="PKE12" s="513"/>
      <c r="PKF12" s="513"/>
      <c r="PKG12" s="513"/>
      <c r="PKH12" s="513"/>
      <c r="PKI12" s="513"/>
      <c r="PKJ12" s="513"/>
      <c r="PKK12" s="513"/>
      <c r="PKL12" s="513"/>
      <c r="PKM12" s="513"/>
      <c r="PKN12" s="513"/>
      <c r="PKO12" s="513"/>
      <c r="PKP12" s="513"/>
      <c r="PKQ12" s="513"/>
      <c r="PKR12" s="513"/>
      <c r="PKS12" s="513"/>
      <c r="PKT12" s="513"/>
      <c r="PKU12" s="513"/>
      <c r="PKV12" s="513"/>
      <c r="PKW12" s="513"/>
      <c r="PKX12" s="513"/>
      <c r="PKY12" s="513"/>
      <c r="PKZ12" s="513"/>
      <c r="PLA12" s="513"/>
      <c r="PLB12" s="513"/>
      <c r="PLC12" s="513"/>
      <c r="PLD12" s="513"/>
      <c r="PLE12" s="513"/>
      <c r="PLF12" s="513"/>
      <c r="PLG12" s="513"/>
      <c r="PLH12" s="513"/>
      <c r="PLI12" s="513"/>
      <c r="PLJ12" s="513"/>
      <c r="PLK12" s="513"/>
      <c r="PLL12" s="513"/>
      <c r="PLM12" s="513"/>
      <c r="PLN12" s="513"/>
      <c r="PLO12" s="513"/>
      <c r="PLP12" s="513"/>
      <c r="PLQ12" s="513"/>
      <c r="PLR12" s="513"/>
      <c r="PLS12" s="513"/>
      <c r="PLT12" s="513"/>
      <c r="PLU12" s="513"/>
      <c r="PLV12" s="513"/>
      <c r="PLW12" s="513"/>
      <c r="PLX12" s="513"/>
      <c r="PLY12" s="513"/>
      <c r="PLZ12" s="513"/>
      <c r="PMA12" s="513"/>
      <c r="PMB12" s="513"/>
      <c r="PMC12" s="513"/>
      <c r="PMD12" s="513"/>
      <c r="PME12" s="513"/>
      <c r="PMF12" s="513"/>
      <c r="PMG12" s="513"/>
      <c r="PMH12" s="513"/>
      <c r="PMI12" s="513"/>
      <c r="PMJ12" s="513"/>
      <c r="PMK12" s="513"/>
      <c r="PML12" s="513"/>
      <c r="PMM12" s="513"/>
      <c r="PMN12" s="513"/>
      <c r="PMO12" s="513"/>
      <c r="PMP12" s="513"/>
      <c r="PMQ12" s="513"/>
      <c r="PMR12" s="513"/>
      <c r="PMS12" s="513"/>
      <c r="PMT12" s="513"/>
      <c r="PMU12" s="513"/>
      <c r="PMV12" s="513"/>
      <c r="PMW12" s="513"/>
      <c r="PMX12" s="513"/>
      <c r="PMY12" s="513"/>
      <c r="PMZ12" s="513"/>
      <c r="PNA12" s="513"/>
      <c r="PNB12" s="513"/>
      <c r="PNC12" s="513"/>
      <c r="PND12" s="513"/>
      <c r="PNE12" s="513"/>
      <c r="PNF12" s="513"/>
      <c r="PNG12" s="513"/>
      <c r="PNH12" s="513"/>
      <c r="PNI12" s="513"/>
      <c r="PNJ12" s="513"/>
      <c r="PNK12" s="513"/>
      <c r="PNL12" s="513"/>
      <c r="PNM12" s="513"/>
      <c r="PNN12" s="513"/>
      <c r="PNO12" s="513"/>
      <c r="PNP12" s="513"/>
      <c r="PNQ12" s="513"/>
      <c r="PNR12" s="513"/>
      <c r="PNS12" s="513"/>
      <c r="PNT12" s="513"/>
      <c r="PNU12" s="513"/>
      <c r="PNV12" s="513"/>
      <c r="PNW12" s="513"/>
      <c r="PNX12" s="513"/>
      <c r="PNY12" s="513"/>
      <c r="PNZ12" s="513"/>
      <c r="POA12" s="513"/>
      <c r="POB12" s="513"/>
      <c r="POC12" s="513"/>
      <c r="POD12" s="513"/>
      <c r="POE12" s="513"/>
      <c r="POF12" s="513"/>
      <c r="POG12" s="513"/>
      <c r="POH12" s="513"/>
      <c r="POI12" s="513"/>
      <c r="POJ12" s="513"/>
      <c r="POK12" s="513"/>
      <c r="POL12" s="513"/>
      <c r="POM12" s="513"/>
      <c r="PON12" s="513"/>
      <c r="POO12" s="513"/>
      <c r="POP12" s="513"/>
      <c r="POQ12" s="513"/>
      <c r="POR12" s="513"/>
      <c r="POS12" s="513"/>
      <c r="POT12" s="513"/>
      <c r="POU12" s="513"/>
      <c r="POV12" s="513"/>
      <c r="POW12" s="513"/>
      <c r="POX12" s="513"/>
      <c r="POY12" s="513"/>
      <c r="POZ12" s="513"/>
      <c r="PPA12" s="513"/>
      <c r="PPB12" s="513"/>
      <c r="PPC12" s="513"/>
      <c r="PPD12" s="513"/>
      <c r="PPE12" s="513"/>
      <c r="PPF12" s="513"/>
      <c r="PPG12" s="513"/>
      <c r="PPH12" s="513"/>
      <c r="PPI12" s="513"/>
      <c r="PPJ12" s="513"/>
      <c r="PPK12" s="513"/>
      <c r="PPL12" s="513"/>
      <c r="PPM12" s="513"/>
      <c r="PPN12" s="513"/>
      <c r="PPO12" s="513"/>
      <c r="PPP12" s="513"/>
      <c r="PPQ12" s="513"/>
      <c r="PPR12" s="513"/>
      <c r="PPS12" s="513"/>
      <c r="PPT12" s="513"/>
      <c r="PPU12" s="513"/>
      <c r="PPV12" s="513"/>
      <c r="PPW12" s="513"/>
      <c r="PPX12" s="513"/>
      <c r="PPY12" s="513"/>
      <c r="PPZ12" s="513"/>
      <c r="PQA12" s="513"/>
      <c r="PQB12" s="513"/>
      <c r="PQC12" s="513"/>
      <c r="PQD12" s="513"/>
      <c r="PQE12" s="513"/>
      <c r="PQF12" s="513"/>
      <c r="PQG12" s="513"/>
      <c r="PQH12" s="513"/>
      <c r="PQI12" s="513"/>
      <c r="PQJ12" s="513"/>
      <c r="PQK12" s="513"/>
      <c r="PQL12" s="513"/>
      <c r="PQM12" s="513"/>
      <c r="PQN12" s="513"/>
      <c r="PQO12" s="513"/>
      <c r="PQP12" s="513"/>
      <c r="PQQ12" s="513"/>
      <c r="PQR12" s="513"/>
      <c r="PQS12" s="513"/>
      <c r="PQT12" s="513"/>
      <c r="PQU12" s="513"/>
      <c r="PQV12" s="513"/>
      <c r="PQW12" s="513"/>
      <c r="PQX12" s="513"/>
      <c r="PQY12" s="513"/>
      <c r="PQZ12" s="513"/>
      <c r="PRA12" s="513"/>
      <c r="PRB12" s="513"/>
      <c r="PRC12" s="513"/>
      <c r="PRD12" s="513"/>
      <c r="PRE12" s="513"/>
      <c r="PRF12" s="513"/>
      <c r="PRG12" s="513"/>
      <c r="PRH12" s="513"/>
      <c r="PRI12" s="513"/>
      <c r="PRJ12" s="513"/>
      <c r="PRK12" s="513"/>
      <c r="PRL12" s="513"/>
      <c r="PRM12" s="513"/>
      <c r="PRN12" s="513"/>
      <c r="PRO12" s="513"/>
      <c r="PRP12" s="513"/>
      <c r="PRQ12" s="513"/>
      <c r="PRR12" s="513"/>
      <c r="PRS12" s="513"/>
      <c r="PRT12" s="513"/>
      <c r="PRU12" s="513"/>
      <c r="PRV12" s="513"/>
      <c r="PRW12" s="513"/>
      <c r="PRX12" s="513"/>
      <c r="PRY12" s="513"/>
      <c r="PRZ12" s="513"/>
      <c r="PSA12" s="513"/>
      <c r="PSB12" s="513"/>
      <c r="PSC12" s="513"/>
      <c r="PSD12" s="513"/>
      <c r="PSE12" s="513"/>
      <c r="PSF12" s="513"/>
      <c r="PSG12" s="513"/>
      <c r="PSH12" s="513"/>
      <c r="PSI12" s="513"/>
      <c r="PSJ12" s="513"/>
      <c r="PSK12" s="513"/>
      <c r="PSL12" s="513"/>
      <c r="PSM12" s="513"/>
      <c r="PSN12" s="513"/>
      <c r="PSO12" s="513"/>
      <c r="PSP12" s="513"/>
      <c r="PSQ12" s="513"/>
      <c r="PSR12" s="513"/>
      <c r="PSS12" s="513"/>
      <c r="PST12" s="513"/>
      <c r="PSU12" s="513"/>
      <c r="PSV12" s="513"/>
      <c r="PSW12" s="513"/>
      <c r="PSX12" s="513"/>
      <c r="PSY12" s="513"/>
      <c r="PSZ12" s="513"/>
      <c r="PTA12" s="513"/>
      <c r="PTB12" s="513"/>
      <c r="PTC12" s="513"/>
      <c r="PTD12" s="513"/>
      <c r="PTE12" s="513"/>
      <c r="PTF12" s="513"/>
      <c r="PTG12" s="513"/>
      <c r="PTH12" s="513"/>
      <c r="PTI12" s="513"/>
      <c r="PTJ12" s="513"/>
      <c r="PTK12" s="513"/>
      <c r="PTL12" s="513"/>
      <c r="PTM12" s="513"/>
      <c r="PTN12" s="513"/>
      <c r="PTO12" s="513"/>
      <c r="PTP12" s="513"/>
      <c r="PTQ12" s="513"/>
      <c r="PTR12" s="513"/>
      <c r="PTS12" s="513"/>
      <c r="PTT12" s="513"/>
      <c r="PTU12" s="513"/>
      <c r="PTV12" s="513"/>
      <c r="PTW12" s="513"/>
      <c r="PTX12" s="513"/>
      <c r="PTY12" s="513"/>
      <c r="PTZ12" s="513"/>
      <c r="PUA12" s="513"/>
      <c r="PUB12" s="513"/>
      <c r="PUC12" s="513"/>
      <c r="PUD12" s="513"/>
      <c r="PUE12" s="513"/>
      <c r="PUF12" s="513"/>
      <c r="PUG12" s="513"/>
      <c r="PUH12" s="513"/>
      <c r="PUI12" s="513"/>
      <c r="PUJ12" s="513"/>
      <c r="PUK12" s="513"/>
      <c r="PUL12" s="513"/>
      <c r="PUM12" s="513"/>
      <c r="PUN12" s="513"/>
      <c r="PUO12" s="513"/>
      <c r="PUP12" s="513"/>
      <c r="PUQ12" s="513"/>
      <c r="PUR12" s="513"/>
      <c r="PUS12" s="513"/>
      <c r="PUT12" s="513"/>
      <c r="PUU12" s="513"/>
      <c r="PUV12" s="513"/>
      <c r="PUW12" s="513"/>
      <c r="PUX12" s="513"/>
      <c r="PUY12" s="513"/>
      <c r="PUZ12" s="513"/>
      <c r="PVA12" s="513"/>
      <c r="PVB12" s="513"/>
      <c r="PVC12" s="513"/>
      <c r="PVD12" s="513"/>
      <c r="PVE12" s="513"/>
      <c r="PVF12" s="513"/>
      <c r="PVG12" s="513"/>
      <c r="PVH12" s="513"/>
      <c r="PVI12" s="513"/>
      <c r="PVJ12" s="513"/>
      <c r="PVK12" s="513"/>
      <c r="PVL12" s="513"/>
      <c r="PVM12" s="513"/>
      <c r="PVN12" s="513"/>
      <c r="PVO12" s="513"/>
      <c r="PVP12" s="513"/>
      <c r="PVQ12" s="513"/>
      <c r="PVR12" s="513"/>
      <c r="PVS12" s="513"/>
      <c r="PVT12" s="513"/>
      <c r="PVU12" s="513"/>
      <c r="PVV12" s="513"/>
      <c r="PVW12" s="513"/>
      <c r="PVX12" s="513"/>
      <c r="PVY12" s="513"/>
      <c r="PVZ12" s="513"/>
      <c r="PWA12" s="513"/>
      <c r="PWB12" s="513"/>
      <c r="PWC12" s="513"/>
      <c r="PWD12" s="513"/>
      <c r="PWE12" s="513"/>
      <c r="PWF12" s="513"/>
      <c r="PWG12" s="513"/>
      <c r="PWH12" s="513"/>
      <c r="PWI12" s="513"/>
      <c r="PWJ12" s="513"/>
      <c r="PWK12" s="513"/>
      <c r="PWL12" s="513"/>
      <c r="PWM12" s="513"/>
      <c r="PWN12" s="513"/>
      <c r="PWO12" s="513"/>
      <c r="PWP12" s="513"/>
      <c r="PWQ12" s="513"/>
      <c r="PWR12" s="513"/>
      <c r="PWS12" s="513"/>
      <c r="PWT12" s="513"/>
      <c r="PWU12" s="513"/>
      <c r="PWV12" s="513"/>
      <c r="PWW12" s="513"/>
      <c r="PWX12" s="513"/>
      <c r="PWY12" s="513"/>
      <c r="PWZ12" s="513"/>
      <c r="PXA12" s="513"/>
      <c r="PXB12" s="513"/>
      <c r="PXC12" s="513"/>
      <c r="PXD12" s="513"/>
      <c r="PXE12" s="513"/>
      <c r="PXF12" s="513"/>
      <c r="PXG12" s="513"/>
      <c r="PXH12" s="513"/>
      <c r="PXI12" s="513"/>
      <c r="PXJ12" s="513"/>
      <c r="PXK12" s="513"/>
      <c r="PXL12" s="513"/>
      <c r="PXM12" s="513"/>
      <c r="PXN12" s="513"/>
      <c r="PXO12" s="513"/>
      <c r="PXP12" s="513"/>
      <c r="PXQ12" s="513"/>
      <c r="PXR12" s="513"/>
      <c r="PXS12" s="513"/>
      <c r="PXT12" s="513"/>
      <c r="PXU12" s="513"/>
      <c r="PXV12" s="513"/>
      <c r="PXW12" s="513"/>
      <c r="PXX12" s="513"/>
      <c r="PXY12" s="513"/>
      <c r="PXZ12" s="513"/>
      <c r="PYA12" s="513"/>
      <c r="PYB12" s="513"/>
      <c r="PYC12" s="513"/>
      <c r="PYD12" s="513"/>
      <c r="PYE12" s="513"/>
      <c r="PYF12" s="513"/>
      <c r="PYG12" s="513"/>
      <c r="PYH12" s="513"/>
      <c r="PYI12" s="513"/>
      <c r="PYJ12" s="513"/>
      <c r="PYK12" s="513"/>
      <c r="PYL12" s="513"/>
      <c r="PYM12" s="513"/>
      <c r="PYN12" s="513"/>
      <c r="PYO12" s="513"/>
      <c r="PYP12" s="513"/>
      <c r="PYQ12" s="513"/>
      <c r="PYR12" s="513"/>
      <c r="PYS12" s="513"/>
      <c r="PYT12" s="513"/>
      <c r="PYU12" s="513"/>
      <c r="PYV12" s="513"/>
      <c r="PYW12" s="513"/>
      <c r="PYX12" s="513"/>
      <c r="PYY12" s="513"/>
      <c r="PYZ12" s="513"/>
      <c r="PZA12" s="513"/>
      <c r="PZB12" s="513"/>
      <c r="PZC12" s="513"/>
      <c r="PZD12" s="513"/>
      <c r="PZE12" s="513"/>
      <c r="PZF12" s="513"/>
      <c r="PZG12" s="513"/>
      <c r="PZH12" s="513"/>
      <c r="PZI12" s="513"/>
      <c r="PZJ12" s="513"/>
      <c r="PZK12" s="513"/>
      <c r="PZL12" s="513"/>
      <c r="PZM12" s="513"/>
      <c r="PZN12" s="513"/>
      <c r="PZO12" s="513"/>
      <c r="PZP12" s="513"/>
      <c r="PZQ12" s="513"/>
      <c r="PZR12" s="513"/>
      <c r="PZS12" s="513"/>
      <c r="PZT12" s="513"/>
      <c r="PZU12" s="513"/>
      <c r="PZV12" s="513"/>
      <c r="PZW12" s="513"/>
      <c r="PZX12" s="513"/>
      <c r="PZY12" s="513"/>
      <c r="PZZ12" s="513"/>
      <c r="QAA12" s="513"/>
      <c r="QAB12" s="513"/>
      <c r="QAC12" s="513"/>
      <c r="QAD12" s="513"/>
      <c r="QAE12" s="513"/>
      <c r="QAF12" s="513"/>
      <c r="QAG12" s="513"/>
      <c r="QAH12" s="513"/>
      <c r="QAI12" s="513"/>
      <c r="QAJ12" s="513"/>
      <c r="QAK12" s="513"/>
      <c r="QAL12" s="513"/>
      <c r="QAM12" s="513"/>
      <c r="QAN12" s="513"/>
      <c r="QAO12" s="513"/>
      <c r="QAP12" s="513"/>
      <c r="QAQ12" s="513"/>
      <c r="QAR12" s="513"/>
      <c r="QAS12" s="513"/>
      <c r="QAT12" s="513"/>
      <c r="QAU12" s="513"/>
      <c r="QAV12" s="513"/>
      <c r="QAW12" s="513"/>
      <c r="QAX12" s="513"/>
      <c r="QAY12" s="513"/>
      <c r="QAZ12" s="513"/>
      <c r="QBA12" s="513"/>
      <c r="QBB12" s="513"/>
      <c r="QBC12" s="513"/>
      <c r="QBD12" s="513"/>
      <c r="QBE12" s="513"/>
      <c r="QBF12" s="513"/>
      <c r="QBG12" s="513"/>
      <c r="QBH12" s="513"/>
      <c r="QBI12" s="513"/>
      <c r="QBJ12" s="513"/>
      <c r="QBK12" s="513"/>
      <c r="QBL12" s="513"/>
      <c r="QBM12" s="513"/>
      <c r="QBN12" s="513"/>
      <c r="QBO12" s="513"/>
      <c r="QBP12" s="513"/>
      <c r="QBQ12" s="513"/>
      <c r="QBR12" s="513"/>
      <c r="QBS12" s="513"/>
      <c r="QBT12" s="513"/>
      <c r="QBU12" s="513"/>
      <c r="QBV12" s="513"/>
      <c r="QBW12" s="513"/>
      <c r="QBX12" s="513"/>
      <c r="QBY12" s="513"/>
      <c r="QBZ12" s="513"/>
      <c r="QCA12" s="513"/>
      <c r="QCB12" s="513"/>
      <c r="QCC12" s="513"/>
      <c r="QCD12" s="513"/>
      <c r="QCE12" s="513"/>
      <c r="QCF12" s="513"/>
      <c r="QCG12" s="513"/>
      <c r="QCH12" s="513"/>
      <c r="QCI12" s="513"/>
      <c r="QCJ12" s="513"/>
      <c r="QCK12" s="513"/>
      <c r="QCL12" s="513"/>
      <c r="QCM12" s="513"/>
      <c r="QCN12" s="513"/>
      <c r="QCO12" s="513"/>
      <c r="QCP12" s="513"/>
      <c r="QCQ12" s="513"/>
      <c r="QCR12" s="513"/>
      <c r="QCS12" s="513"/>
      <c r="QCT12" s="513"/>
      <c r="QCU12" s="513"/>
      <c r="QCV12" s="513"/>
      <c r="QCW12" s="513"/>
      <c r="QCX12" s="513"/>
      <c r="QCY12" s="513"/>
      <c r="QCZ12" s="513"/>
      <c r="QDA12" s="513"/>
      <c r="QDB12" s="513"/>
      <c r="QDC12" s="513"/>
      <c r="QDD12" s="513"/>
      <c r="QDE12" s="513"/>
      <c r="QDF12" s="513"/>
      <c r="QDG12" s="513"/>
      <c r="QDH12" s="513"/>
      <c r="QDI12" s="513"/>
      <c r="QDJ12" s="513"/>
      <c r="QDK12" s="513"/>
      <c r="QDL12" s="513"/>
      <c r="QDM12" s="513"/>
      <c r="QDN12" s="513"/>
      <c r="QDO12" s="513"/>
      <c r="QDP12" s="513"/>
      <c r="QDQ12" s="513"/>
      <c r="QDR12" s="513"/>
      <c r="QDS12" s="513"/>
      <c r="QDT12" s="513"/>
      <c r="QDU12" s="513"/>
      <c r="QDV12" s="513"/>
      <c r="QDW12" s="513"/>
      <c r="QDX12" s="513"/>
      <c r="QDY12" s="513"/>
      <c r="QDZ12" s="513"/>
      <c r="QEA12" s="513"/>
      <c r="QEB12" s="513"/>
      <c r="QEC12" s="513"/>
      <c r="QED12" s="513"/>
      <c r="QEE12" s="513"/>
      <c r="QEF12" s="513"/>
      <c r="QEG12" s="513"/>
      <c r="QEH12" s="513"/>
      <c r="QEI12" s="513"/>
      <c r="QEJ12" s="513"/>
      <c r="QEK12" s="513"/>
      <c r="QEL12" s="513"/>
      <c r="QEM12" s="513"/>
      <c r="QEN12" s="513"/>
      <c r="QEO12" s="513"/>
      <c r="QEP12" s="513"/>
      <c r="QEQ12" s="513"/>
      <c r="QER12" s="513"/>
      <c r="QES12" s="513"/>
      <c r="QET12" s="513"/>
      <c r="QEU12" s="513"/>
      <c r="QEV12" s="513"/>
      <c r="QEW12" s="513"/>
      <c r="QEX12" s="513"/>
      <c r="QEY12" s="513"/>
      <c r="QEZ12" s="513"/>
      <c r="QFA12" s="513"/>
      <c r="QFB12" s="513"/>
      <c r="QFC12" s="513"/>
      <c r="QFD12" s="513"/>
      <c r="QFE12" s="513"/>
      <c r="QFF12" s="513"/>
      <c r="QFG12" s="513"/>
      <c r="QFH12" s="513"/>
      <c r="QFI12" s="513"/>
      <c r="QFJ12" s="513"/>
      <c r="QFK12" s="513"/>
      <c r="QFL12" s="513"/>
      <c r="QFM12" s="513"/>
      <c r="QFN12" s="513"/>
      <c r="QFO12" s="513"/>
      <c r="QFP12" s="513"/>
      <c r="QFQ12" s="513"/>
      <c r="QFR12" s="513"/>
      <c r="QFS12" s="513"/>
      <c r="QFT12" s="513"/>
      <c r="QFU12" s="513"/>
      <c r="QFV12" s="513"/>
      <c r="QFW12" s="513"/>
      <c r="QFX12" s="513"/>
      <c r="QFY12" s="513"/>
      <c r="QFZ12" s="513"/>
      <c r="QGA12" s="513"/>
      <c r="QGB12" s="513"/>
      <c r="QGC12" s="513"/>
      <c r="QGD12" s="513"/>
      <c r="QGE12" s="513"/>
      <c r="QGF12" s="513"/>
      <c r="QGG12" s="513"/>
      <c r="QGH12" s="513"/>
      <c r="QGI12" s="513"/>
      <c r="QGJ12" s="513"/>
      <c r="QGK12" s="513"/>
      <c r="QGL12" s="513"/>
      <c r="QGM12" s="513"/>
      <c r="QGN12" s="513"/>
      <c r="QGO12" s="513"/>
      <c r="QGP12" s="513"/>
      <c r="QGQ12" s="513"/>
      <c r="QGR12" s="513"/>
      <c r="QGS12" s="513"/>
      <c r="QGT12" s="513"/>
      <c r="QGU12" s="513"/>
      <c r="QGV12" s="513"/>
      <c r="QGW12" s="513"/>
      <c r="QGX12" s="513"/>
      <c r="QGY12" s="513"/>
      <c r="QGZ12" s="513"/>
      <c r="QHA12" s="513"/>
      <c r="QHB12" s="513"/>
      <c r="QHC12" s="513"/>
      <c r="QHD12" s="513"/>
      <c r="QHE12" s="513"/>
      <c r="QHF12" s="513"/>
      <c r="QHG12" s="513"/>
      <c r="QHH12" s="513"/>
      <c r="QHI12" s="513"/>
      <c r="QHJ12" s="513"/>
      <c r="QHK12" s="513"/>
      <c r="QHL12" s="513"/>
      <c r="QHM12" s="513"/>
      <c r="QHN12" s="513"/>
      <c r="QHO12" s="513"/>
      <c r="QHP12" s="513"/>
      <c r="QHQ12" s="513"/>
      <c r="QHR12" s="513"/>
      <c r="QHS12" s="513"/>
      <c r="QHT12" s="513"/>
      <c r="QHU12" s="513"/>
      <c r="QHV12" s="513"/>
      <c r="QHW12" s="513"/>
      <c r="QHX12" s="513"/>
      <c r="QHY12" s="513"/>
      <c r="QHZ12" s="513"/>
      <c r="QIA12" s="513"/>
      <c r="QIB12" s="513"/>
      <c r="QIC12" s="513"/>
      <c r="QID12" s="513"/>
      <c r="QIE12" s="513"/>
      <c r="QIF12" s="513"/>
      <c r="QIG12" s="513"/>
      <c r="QIH12" s="513"/>
      <c r="QII12" s="513"/>
      <c r="QIJ12" s="513"/>
      <c r="QIK12" s="513"/>
      <c r="QIL12" s="513"/>
      <c r="QIM12" s="513"/>
      <c r="QIN12" s="513"/>
      <c r="QIO12" s="513"/>
      <c r="QIP12" s="513"/>
      <c r="QIQ12" s="513"/>
      <c r="QIR12" s="513"/>
      <c r="QIS12" s="513"/>
      <c r="QIT12" s="513"/>
      <c r="QIU12" s="513"/>
      <c r="QIV12" s="513"/>
      <c r="QIW12" s="513"/>
      <c r="QIX12" s="513"/>
      <c r="QIY12" s="513"/>
      <c r="QIZ12" s="513"/>
      <c r="QJA12" s="513"/>
      <c r="QJB12" s="513"/>
      <c r="QJC12" s="513"/>
      <c r="QJD12" s="513"/>
      <c r="QJE12" s="513"/>
      <c r="QJF12" s="513"/>
      <c r="QJG12" s="513"/>
      <c r="QJH12" s="513"/>
      <c r="QJI12" s="513"/>
      <c r="QJJ12" s="513"/>
      <c r="QJK12" s="513"/>
      <c r="QJL12" s="513"/>
      <c r="QJM12" s="513"/>
      <c r="QJN12" s="513"/>
      <c r="QJO12" s="513"/>
      <c r="QJP12" s="513"/>
      <c r="QJQ12" s="513"/>
      <c r="QJR12" s="513"/>
      <c r="QJS12" s="513"/>
      <c r="QJT12" s="513"/>
      <c r="QJU12" s="513"/>
      <c r="QJV12" s="513"/>
      <c r="QJW12" s="513"/>
      <c r="QJX12" s="513"/>
      <c r="QJY12" s="513"/>
      <c r="QJZ12" s="513"/>
      <c r="QKA12" s="513"/>
      <c r="QKB12" s="513"/>
      <c r="QKC12" s="513"/>
      <c r="QKD12" s="513"/>
      <c r="QKE12" s="513"/>
      <c r="QKF12" s="513"/>
      <c r="QKG12" s="513"/>
      <c r="QKH12" s="513"/>
      <c r="QKI12" s="513"/>
      <c r="QKJ12" s="513"/>
      <c r="QKK12" s="513"/>
      <c r="QKL12" s="513"/>
      <c r="QKM12" s="513"/>
      <c r="QKN12" s="513"/>
      <c r="QKO12" s="513"/>
      <c r="QKP12" s="513"/>
      <c r="QKQ12" s="513"/>
      <c r="QKR12" s="513"/>
      <c r="QKS12" s="513"/>
      <c r="QKT12" s="513"/>
      <c r="QKU12" s="513"/>
      <c r="QKV12" s="513"/>
      <c r="QKW12" s="513"/>
      <c r="QKX12" s="513"/>
      <c r="QKY12" s="513"/>
      <c r="QKZ12" s="513"/>
      <c r="QLA12" s="513"/>
      <c r="QLB12" s="513"/>
      <c r="QLC12" s="513"/>
      <c r="QLD12" s="513"/>
      <c r="QLE12" s="513"/>
      <c r="QLF12" s="513"/>
      <c r="QLG12" s="513"/>
      <c r="QLH12" s="513"/>
      <c r="QLI12" s="513"/>
      <c r="QLJ12" s="513"/>
      <c r="QLK12" s="513"/>
      <c r="QLL12" s="513"/>
      <c r="QLM12" s="513"/>
      <c r="QLN12" s="513"/>
      <c r="QLO12" s="513"/>
      <c r="QLP12" s="513"/>
      <c r="QLQ12" s="513"/>
      <c r="QLR12" s="513"/>
      <c r="QLS12" s="513"/>
      <c r="QLT12" s="513"/>
      <c r="QLU12" s="513"/>
      <c r="QLV12" s="513"/>
      <c r="QLW12" s="513"/>
      <c r="QLX12" s="513"/>
      <c r="QLY12" s="513"/>
      <c r="QLZ12" s="513"/>
      <c r="QMA12" s="513"/>
      <c r="QMB12" s="513"/>
      <c r="QMC12" s="513"/>
      <c r="QMD12" s="513"/>
      <c r="QME12" s="513"/>
      <c r="QMF12" s="513"/>
      <c r="QMG12" s="513"/>
      <c r="QMH12" s="513"/>
      <c r="QMI12" s="513"/>
      <c r="QMJ12" s="513"/>
      <c r="QMK12" s="513"/>
      <c r="QML12" s="513"/>
      <c r="QMM12" s="513"/>
      <c r="QMN12" s="513"/>
      <c r="QMO12" s="513"/>
      <c r="QMP12" s="513"/>
      <c r="QMQ12" s="513"/>
      <c r="QMR12" s="513"/>
      <c r="QMS12" s="513"/>
      <c r="QMT12" s="513"/>
      <c r="QMU12" s="513"/>
      <c r="QMV12" s="513"/>
      <c r="QMW12" s="513"/>
      <c r="QMX12" s="513"/>
      <c r="QMY12" s="513"/>
      <c r="QMZ12" s="513"/>
      <c r="QNA12" s="513"/>
      <c r="QNB12" s="513"/>
      <c r="QNC12" s="513"/>
      <c r="QND12" s="513"/>
      <c r="QNE12" s="513"/>
      <c r="QNF12" s="513"/>
      <c r="QNG12" s="513"/>
      <c r="QNH12" s="513"/>
      <c r="QNI12" s="513"/>
      <c r="QNJ12" s="513"/>
      <c r="QNK12" s="513"/>
      <c r="QNL12" s="513"/>
      <c r="QNM12" s="513"/>
      <c r="QNN12" s="513"/>
      <c r="QNO12" s="513"/>
      <c r="QNP12" s="513"/>
      <c r="QNQ12" s="513"/>
      <c r="QNR12" s="513"/>
      <c r="QNS12" s="513"/>
      <c r="QNT12" s="513"/>
      <c r="QNU12" s="513"/>
      <c r="QNV12" s="513"/>
      <c r="QNW12" s="513"/>
      <c r="QNX12" s="513"/>
      <c r="QNY12" s="513"/>
      <c r="QNZ12" s="513"/>
      <c r="QOA12" s="513"/>
      <c r="QOB12" s="513"/>
      <c r="QOC12" s="513"/>
      <c r="QOD12" s="513"/>
      <c r="QOE12" s="513"/>
      <c r="QOF12" s="513"/>
      <c r="QOG12" s="513"/>
      <c r="QOH12" s="513"/>
      <c r="QOI12" s="513"/>
      <c r="QOJ12" s="513"/>
      <c r="QOK12" s="513"/>
      <c r="QOL12" s="513"/>
      <c r="QOM12" s="513"/>
      <c r="QON12" s="513"/>
      <c r="QOO12" s="513"/>
      <c r="QOP12" s="513"/>
      <c r="QOQ12" s="513"/>
      <c r="QOR12" s="513"/>
      <c r="QOS12" s="513"/>
      <c r="QOT12" s="513"/>
      <c r="QOU12" s="513"/>
      <c r="QOV12" s="513"/>
      <c r="QOW12" s="513"/>
      <c r="QOX12" s="513"/>
      <c r="QOY12" s="513"/>
      <c r="QOZ12" s="513"/>
      <c r="QPA12" s="513"/>
      <c r="QPB12" s="513"/>
      <c r="QPC12" s="513"/>
      <c r="QPD12" s="513"/>
      <c r="QPE12" s="513"/>
      <c r="QPF12" s="513"/>
      <c r="QPG12" s="513"/>
      <c r="QPH12" s="513"/>
      <c r="QPI12" s="513"/>
      <c r="QPJ12" s="513"/>
      <c r="QPK12" s="513"/>
      <c r="QPL12" s="513"/>
      <c r="QPM12" s="513"/>
      <c r="QPN12" s="513"/>
      <c r="QPO12" s="513"/>
      <c r="QPP12" s="513"/>
      <c r="QPQ12" s="513"/>
      <c r="QPR12" s="513"/>
      <c r="QPS12" s="513"/>
      <c r="QPT12" s="513"/>
      <c r="QPU12" s="513"/>
      <c r="QPV12" s="513"/>
      <c r="QPW12" s="513"/>
      <c r="QPX12" s="513"/>
      <c r="QPY12" s="513"/>
      <c r="QPZ12" s="513"/>
      <c r="QQA12" s="513"/>
      <c r="QQB12" s="513"/>
      <c r="QQC12" s="513"/>
      <c r="QQD12" s="513"/>
      <c r="QQE12" s="513"/>
      <c r="QQF12" s="513"/>
      <c r="QQG12" s="513"/>
      <c r="QQH12" s="513"/>
      <c r="QQI12" s="513"/>
      <c r="QQJ12" s="513"/>
      <c r="QQK12" s="513"/>
      <c r="QQL12" s="513"/>
      <c r="QQM12" s="513"/>
      <c r="QQN12" s="513"/>
      <c r="QQO12" s="513"/>
      <c r="QQP12" s="513"/>
      <c r="QQQ12" s="513"/>
      <c r="QQR12" s="513"/>
      <c r="QQS12" s="513"/>
      <c r="QQT12" s="513"/>
      <c r="QQU12" s="513"/>
      <c r="QQV12" s="513"/>
      <c r="QQW12" s="513"/>
      <c r="QQX12" s="513"/>
      <c r="QQY12" s="513"/>
      <c r="QQZ12" s="513"/>
      <c r="QRA12" s="513"/>
      <c r="QRB12" s="513"/>
      <c r="QRC12" s="513"/>
      <c r="QRD12" s="513"/>
      <c r="QRE12" s="513"/>
      <c r="QRF12" s="513"/>
      <c r="QRG12" s="513"/>
      <c r="QRH12" s="513"/>
      <c r="QRI12" s="513"/>
      <c r="QRJ12" s="513"/>
      <c r="QRK12" s="513"/>
      <c r="QRL12" s="513"/>
      <c r="QRM12" s="513"/>
      <c r="QRN12" s="513"/>
      <c r="QRO12" s="513"/>
      <c r="QRP12" s="513"/>
      <c r="QRQ12" s="513"/>
      <c r="QRR12" s="513"/>
      <c r="QRS12" s="513"/>
      <c r="QRT12" s="513"/>
      <c r="QRU12" s="513"/>
      <c r="QRV12" s="513"/>
      <c r="QRW12" s="513"/>
      <c r="QRX12" s="513"/>
      <c r="QRY12" s="513"/>
      <c r="QRZ12" s="513"/>
      <c r="QSA12" s="513"/>
      <c r="QSB12" s="513"/>
      <c r="QSC12" s="513"/>
      <c r="QSD12" s="513"/>
      <c r="QSE12" s="513"/>
      <c r="QSF12" s="513"/>
      <c r="QSG12" s="513"/>
      <c r="QSH12" s="513"/>
      <c r="QSI12" s="513"/>
      <c r="QSJ12" s="513"/>
      <c r="QSK12" s="513"/>
      <c r="QSL12" s="513"/>
      <c r="QSM12" s="513"/>
      <c r="QSN12" s="513"/>
      <c r="QSO12" s="513"/>
      <c r="QSP12" s="513"/>
      <c r="QSQ12" s="513"/>
      <c r="QSR12" s="513"/>
      <c r="QSS12" s="513"/>
      <c r="QST12" s="513"/>
      <c r="QSU12" s="513"/>
      <c r="QSV12" s="513"/>
      <c r="QSW12" s="513"/>
      <c r="QSX12" s="513"/>
      <c r="QSY12" s="513"/>
      <c r="QSZ12" s="513"/>
      <c r="QTA12" s="513"/>
      <c r="QTB12" s="513"/>
      <c r="QTC12" s="513"/>
      <c r="QTD12" s="513"/>
      <c r="QTE12" s="513"/>
      <c r="QTF12" s="513"/>
      <c r="QTG12" s="513"/>
      <c r="QTH12" s="513"/>
      <c r="QTI12" s="513"/>
      <c r="QTJ12" s="513"/>
      <c r="QTK12" s="513"/>
      <c r="QTL12" s="513"/>
      <c r="QTM12" s="513"/>
      <c r="QTN12" s="513"/>
      <c r="QTO12" s="513"/>
      <c r="QTP12" s="513"/>
      <c r="QTQ12" s="513"/>
      <c r="QTR12" s="513"/>
      <c r="QTS12" s="513"/>
      <c r="QTT12" s="513"/>
      <c r="QTU12" s="513"/>
      <c r="QTV12" s="513"/>
      <c r="QTW12" s="513"/>
      <c r="QTX12" s="513"/>
      <c r="QTY12" s="513"/>
      <c r="QTZ12" s="513"/>
      <c r="QUA12" s="513"/>
      <c r="QUB12" s="513"/>
      <c r="QUC12" s="513"/>
      <c r="QUD12" s="513"/>
      <c r="QUE12" s="513"/>
      <c r="QUF12" s="513"/>
      <c r="QUG12" s="513"/>
      <c r="QUH12" s="513"/>
      <c r="QUI12" s="513"/>
      <c r="QUJ12" s="513"/>
      <c r="QUK12" s="513"/>
      <c r="QUL12" s="513"/>
      <c r="QUM12" s="513"/>
      <c r="QUN12" s="513"/>
      <c r="QUO12" s="513"/>
      <c r="QUP12" s="513"/>
      <c r="QUQ12" s="513"/>
      <c r="QUR12" s="513"/>
      <c r="QUS12" s="513"/>
      <c r="QUT12" s="513"/>
      <c r="QUU12" s="513"/>
      <c r="QUV12" s="513"/>
      <c r="QUW12" s="513"/>
      <c r="QUX12" s="513"/>
      <c r="QUY12" s="513"/>
      <c r="QUZ12" s="513"/>
      <c r="QVA12" s="513"/>
      <c r="QVB12" s="513"/>
      <c r="QVC12" s="513"/>
      <c r="QVD12" s="513"/>
      <c r="QVE12" s="513"/>
      <c r="QVF12" s="513"/>
      <c r="QVG12" s="513"/>
      <c r="QVH12" s="513"/>
      <c r="QVI12" s="513"/>
      <c r="QVJ12" s="513"/>
      <c r="QVK12" s="513"/>
      <c r="QVL12" s="513"/>
      <c r="QVM12" s="513"/>
      <c r="QVN12" s="513"/>
      <c r="QVO12" s="513"/>
      <c r="QVP12" s="513"/>
      <c r="QVQ12" s="513"/>
      <c r="QVR12" s="513"/>
      <c r="QVS12" s="513"/>
      <c r="QVT12" s="513"/>
      <c r="QVU12" s="513"/>
      <c r="QVV12" s="513"/>
      <c r="QVW12" s="513"/>
      <c r="QVX12" s="513"/>
      <c r="QVY12" s="513"/>
      <c r="QVZ12" s="513"/>
      <c r="QWA12" s="513"/>
      <c r="QWB12" s="513"/>
      <c r="QWC12" s="513"/>
      <c r="QWD12" s="513"/>
      <c r="QWE12" s="513"/>
      <c r="QWF12" s="513"/>
      <c r="QWG12" s="513"/>
      <c r="QWH12" s="513"/>
      <c r="QWI12" s="513"/>
      <c r="QWJ12" s="513"/>
      <c r="QWK12" s="513"/>
      <c r="QWL12" s="513"/>
      <c r="QWM12" s="513"/>
      <c r="QWN12" s="513"/>
      <c r="QWO12" s="513"/>
      <c r="QWP12" s="513"/>
      <c r="QWQ12" s="513"/>
      <c r="QWR12" s="513"/>
      <c r="QWS12" s="513"/>
      <c r="QWT12" s="513"/>
      <c r="QWU12" s="513"/>
      <c r="QWV12" s="513"/>
      <c r="QWW12" s="513"/>
      <c r="QWX12" s="513"/>
      <c r="QWY12" s="513"/>
      <c r="QWZ12" s="513"/>
      <c r="QXA12" s="513"/>
      <c r="QXB12" s="513"/>
      <c r="QXC12" s="513"/>
      <c r="QXD12" s="513"/>
      <c r="QXE12" s="513"/>
      <c r="QXF12" s="513"/>
      <c r="QXG12" s="513"/>
      <c r="QXH12" s="513"/>
      <c r="QXI12" s="513"/>
      <c r="QXJ12" s="513"/>
      <c r="QXK12" s="513"/>
      <c r="QXL12" s="513"/>
      <c r="QXM12" s="513"/>
      <c r="QXN12" s="513"/>
      <c r="QXO12" s="513"/>
      <c r="QXP12" s="513"/>
      <c r="QXQ12" s="513"/>
      <c r="QXR12" s="513"/>
      <c r="QXS12" s="513"/>
      <c r="QXT12" s="513"/>
      <c r="QXU12" s="513"/>
      <c r="QXV12" s="513"/>
      <c r="QXW12" s="513"/>
      <c r="QXX12" s="513"/>
      <c r="QXY12" s="513"/>
      <c r="QXZ12" s="513"/>
      <c r="QYA12" s="513"/>
      <c r="QYB12" s="513"/>
      <c r="QYC12" s="513"/>
      <c r="QYD12" s="513"/>
      <c r="QYE12" s="513"/>
      <c r="QYF12" s="513"/>
      <c r="QYG12" s="513"/>
      <c r="QYH12" s="513"/>
      <c r="QYI12" s="513"/>
      <c r="QYJ12" s="513"/>
      <c r="QYK12" s="513"/>
      <c r="QYL12" s="513"/>
      <c r="QYM12" s="513"/>
      <c r="QYN12" s="513"/>
      <c r="QYO12" s="513"/>
      <c r="QYP12" s="513"/>
      <c r="QYQ12" s="513"/>
      <c r="QYR12" s="513"/>
      <c r="QYS12" s="513"/>
      <c r="QYT12" s="513"/>
      <c r="QYU12" s="513"/>
      <c r="QYV12" s="513"/>
      <c r="QYW12" s="513"/>
      <c r="QYX12" s="513"/>
      <c r="QYY12" s="513"/>
      <c r="QYZ12" s="513"/>
      <c r="QZA12" s="513"/>
      <c r="QZB12" s="513"/>
      <c r="QZC12" s="513"/>
      <c r="QZD12" s="513"/>
      <c r="QZE12" s="513"/>
      <c r="QZF12" s="513"/>
      <c r="QZG12" s="513"/>
      <c r="QZH12" s="513"/>
      <c r="QZI12" s="513"/>
      <c r="QZJ12" s="513"/>
      <c r="QZK12" s="513"/>
      <c r="QZL12" s="513"/>
      <c r="QZM12" s="513"/>
      <c r="QZN12" s="513"/>
      <c r="QZO12" s="513"/>
      <c r="QZP12" s="513"/>
      <c r="QZQ12" s="513"/>
      <c r="QZR12" s="513"/>
      <c r="QZS12" s="513"/>
      <c r="QZT12" s="513"/>
      <c r="QZU12" s="513"/>
      <c r="QZV12" s="513"/>
      <c r="QZW12" s="513"/>
      <c r="QZX12" s="513"/>
      <c r="QZY12" s="513"/>
      <c r="QZZ12" s="513"/>
      <c r="RAA12" s="513"/>
      <c r="RAB12" s="513"/>
      <c r="RAC12" s="513"/>
      <c r="RAD12" s="513"/>
      <c r="RAE12" s="513"/>
      <c r="RAF12" s="513"/>
      <c r="RAG12" s="513"/>
      <c r="RAH12" s="513"/>
      <c r="RAI12" s="513"/>
      <c r="RAJ12" s="513"/>
      <c r="RAK12" s="513"/>
      <c r="RAL12" s="513"/>
      <c r="RAM12" s="513"/>
      <c r="RAN12" s="513"/>
      <c r="RAO12" s="513"/>
      <c r="RAP12" s="513"/>
      <c r="RAQ12" s="513"/>
      <c r="RAR12" s="513"/>
      <c r="RAS12" s="513"/>
      <c r="RAT12" s="513"/>
      <c r="RAU12" s="513"/>
      <c r="RAV12" s="513"/>
      <c r="RAW12" s="513"/>
      <c r="RAX12" s="513"/>
      <c r="RAY12" s="513"/>
      <c r="RAZ12" s="513"/>
      <c r="RBA12" s="513"/>
      <c r="RBB12" s="513"/>
      <c r="RBC12" s="513"/>
      <c r="RBD12" s="513"/>
      <c r="RBE12" s="513"/>
      <c r="RBF12" s="513"/>
      <c r="RBG12" s="513"/>
      <c r="RBH12" s="513"/>
      <c r="RBI12" s="513"/>
      <c r="RBJ12" s="513"/>
      <c r="RBK12" s="513"/>
      <c r="RBL12" s="513"/>
      <c r="RBM12" s="513"/>
      <c r="RBN12" s="513"/>
      <c r="RBO12" s="513"/>
      <c r="RBP12" s="513"/>
      <c r="RBQ12" s="513"/>
      <c r="RBR12" s="513"/>
      <c r="RBS12" s="513"/>
      <c r="RBT12" s="513"/>
      <c r="RBU12" s="513"/>
      <c r="RBV12" s="513"/>
      <c r="RBW12" s="513"/>
      <c r="RBX12" s="513"/>
      <c r="RBY12" s="513"/>
      <c r="RBZ12" s="513"/>
      <c r="RCA12" s="513"/>
      <c r="RCB12" s="513"/>
      <c r="RCC12" s="513"/>
      <c r="RCD12" s="513"/>
      <c r="RCE12" s="513"/>
      <c r="RCF12" s="513"/>
      <c r="RCG12" s="513"/>
      <c r="RCH12" s="513"/>
      <c r="RCI12" s="513"/>
      <c r="RCJ12" s="513"/>
      <c r="RCK12" s="513"/>
      <c r="RCL12" s="513"/>
      <c r="RCM12" s="513"/>
      <c r="RCN12" s="513"/>
      <c r="RCO12" s="513"/>
      <c r="RCP12" s="513"/>
      <c r="RCQ12" s="513"/>
      <c r="RCR12" s="513"/>
      <c r="RCS12" s="513"/>
      <c r="RCT12" s="513"/>
      <c r="RCU12" s="513"/>
      <c r="RCV12" s="513"/>
      <c r="RCW12" s="513"/>
      <c r="RCX12" s="513"/>
      <c r="RCY12" s="513"/>
      <c r="RCZ12" s="513"/>
      <c r="RDA12" s="513"/>
      <c r="RDB12" s="513"/>
      <c r="RDC12" s="513"/>
      <c r="RDD12" s="513"/>
      <c r="RDE12" s="513"/>
      <c r="RDF12" s="513"/>
      <c r="RDG12" s="513"/>
      <c r="RDH12" s="513"/>
      <c r="RDI12" s="513"/>
      <c r="RDJ12" s="513"/>
      <c r="RDK12" s="513"/>
      <c r="RDL12" s="513"/>
      <c r="RDM12" s="513"/>
      <c r="RDN12" s="513"/>
      <c r="RDO12" s="513"/>
      <c r="RDP12" s="513"/>
      <c r="RDQ12" s="513"/>
      <c r="RDR12" s="513"/>
      <c r="RDS12" s="513"/>
      <c r="RDT12" s="513"/>
      <c r="RDU12" s="513"/>
      <c r="RDV12" s="513"/>
      <c r="RDW12" s="513"/>
      <c r="RDX12" s="513"/>
      <c r="RDY12" s="513"/>
      <c r="RDZ12" s="513"/>
      <c r="REA12" s="513"/>
      <c r="REB12" s="513"/>
      <c r="REC12" s="513"/>
      <c r="RED12" s="513"/>
      <c r="REE12" s="513"/>
      <c r="REF12" s="513"/>
      <c r="REG12" s="513"/>
      <c r="REH12" s="513"/>
      <c r="REI12" s="513"/>
      <c r="REJ12" s="513"/>
      <c r="REK12" s="513"/>
      <c r="REL12" s="513"/>
      <c r="REM12" s="513"/>
      <c r="REN12" s="513"/>
      <c r="REO12" s="513"/>
      <c r="REP12" s="513"/>
      <c r="REQ12" s="513"/>
      <c r="RER12" s="513"/>
      <c r="RES12" s="513"/>
      <c r="RET12" s="513"/>
      <c r="REU12" s="513"/>
      <c r="REV12" s="513"/>
      <c r="REW12" s="513"/>
      <c r="REX12" s="513"/>
      <c r="REY12" s="513"/>
      <c r="REZ12" s="513"/>
      <c r="RFA12" s="513"/>
      <c r="RFB12" s="513"/>
      <c r="RFC12" s="513"/>
      <c r="RFD12" s="513"/>
      <c r="RFE12" s="513"/>
      <c r="RFF12" s="513"/>
      <c r="RFG12" s="513"/>
      <c r="RFH12" s="513"/>
      <c r="RFI12" s="513"/>
      <c r="RFJ12" s="513"/>
      <c r="RFK12" s="513"/>
      <c r="RFL12" s="513"/>
      <c r="RFM12" s="513"/>
      <c r="RFN12" s="513"/>
      <c r="RFO12" s="513"/>
      <c r="RFP12" s="513"/>
      <c r="RFQ12" s="513"/>
      <c r="RFR12" s="513"/>
      <c r="RFS12" s="513"/>
      <c r="RFT12" s="513"/>
      <c r="RFU12" s="513"/>
      <c r="RFV12" s="513"/>
      <c r="RFW12" s="513"/>
      <c r="RFX12" s="513"/>
      <c r="RFY12" s="513"/>
      <c r="RFZ12" s="513"/>
      <c r="RGA12" s="513"/>
      <c r="RGB12" s="513"/>
      <c r="RGC12" s="513"/>
      <c r="RGD12" s="513"/>
      <c r="RGE12" s="513"/>
      <c r="RGF12" s="513"/>
      <c r="RGG12" s="513"/>
      <c r="RGH12" s="513"/>
      <c r="RGI12" s="513"/>
      <c r="RGJ12" s="513"/>
      <c r="RGK12" s="513"/>
      <c r="RGL12" s="513"/>
      <c r="RGM12" s="513"/>
      <c r="RGN12" s="513"/>
      <c r="RGO12" s="513"/>
      <c r="RGP12" s="513"/>
      <c r="RGQ12" s="513"/>
      <c r="RGR12" s="513"/>
      <c r="RGS12" s="513"/>
      <c r="RGT12" s="513"/>
      <c r="RGU12" s="513"/>
      <c r="RGV12" s="513"/>
      <c r="RGW12" s="513"/>
      <c r="RGX12" s="513"/>
      <c r="RGY12" s="513"/>
      <c r="RGZ12" s="513"/>
      <c r="RHA12" s="513"/>
      <c r="RHB12" s="513"/>
      <c r="RHC12" s="513"/>
      <c r="RHD12" s="513"/>
      <c r="RHE12" s="513"/>
      <c r="RHF12" s="513"/>
      <c r="RHG12" s="513"/>
      <c r="RHH12" s="513"/>
      <c r="RHI12" s="513"/>
      <c r="RHJ12" s="513"/>
      <c r="RHK12" s="513"/>
      <c r="RHL12" s="513"/>
      <c r="RHM12" s="513"/>
      <c r="RHN12" s="513"/>
      <c r="RHO12" s="513"/>
      <c r="RHP12" s="513"/>
      <c r="RHQ12" s="513"/>
      <c r="RHR12" s="513"/>
      <c r="RHS12" s="513"/>
      <c r="RHT12" s="513"/>
      <c r="RHU12" s="513"/>
      <c r="RHV12" s="513"/>
      <c r="RHW12" s="513"/>
      <c r="RHX12" s="513"/>
      <c r="RHY12" s="513"/>
      <c r="RHZ12" s="513"/>
      <c r="RIA12" s="513"/>
      <c r="RIB12" s="513"/>
      <c r="RIC12" s="513"/>
      <c r="RID12" s="513"/>
      <c r="RIE12" s="513"/>
      <c r="RIF12" s="513"/>
      <c r="RIG12" s="513"/>
      <c r="RIH12" s="513"/>
      <c r="RII12" s="513"/>
      <c r="RIJ12" s="513"/>
      <c r="RIK12" s="513"/>
      <c r="RIL12" s="513"/>
      <c r="RIM12" s="513"/>
      <c r="RIN12" s="513"/>
      <c r="RIO12" s="513"/>
      <c r="RIP12" s="513"/>
      <c r="RIQ12" s="513"/>
      <c r="RIR12" s="513"/>
      <c r="RIS12" s="513"/>
      <c r="RIT12" s="513"/>
      <c r="RIU12" s="513"/>
      <c r="RIV12" s="513"/>
      <c r="RIW12" s="513"/>
      <c r="RIX12" s="513"/>
      <c r="RIY12" s="513"/>
      <c r="RIZ12" s="513"/>
      <c r="RJA12" s="513"/>
      <c r="RJB12" s="513"/>
      <c r="RJC12" s="513"/>
      <c r="RJD12" s="513"/>
      <c r="RJE12" s="513"/>
      <c r="RJF12" s="513"/>
      <c r="RJG12" s="513"/>
      <c r="RJH12" s="513"/>
      <c r="RJI12" s="513"/>
      <c r="RJJ12" s="513"/>
      <c r="RJK12" s="513"/>
      <c r="RJL12" s="513"/>
      <c r="RJM12" s="513"/>
      <c r="RJN12" s="513"/>
      <c r="RJO12" s="513"/>
      <c r="RJP12" s="513"/>
      <c r="RJQ12" s="513"/>
      <c r="RJR12" s="513"/>
      <c r="RJS12" s="513"/>
      <c r="RJT12" s="513"/>
      <c r="RJU12" s="513"/>
      <c r="RJV12" s="513"/>
      <c r="RJW12" s="513"/>
      <c r="RJX12" s="513"/>
      <c r="RJY12" s="513"/>
      <c r="RJZ12" s="513"/>
      <c r="RKA12" s="513"/>
      <c r="RKB12" s="513"/>
      <c r="RKC12" s="513"/>
      <c r="RKD12" s="513"/>
      <c r="RKE12" s="513"/>
      <c r="RKF12" s="513"/>
      <c r="RKG12" s="513"/>
      <c r="RKH12" s="513"/>
      <c r="RKI12" s="513"/>
      <c r="RKJ12" s="513"/>
      <c r="RKK12" s="513"/>
      <c r="RKL12" s="513"/>
      <c r="RKM12" s="513"/>
      <c r="RKN12" s="513"/>
      <c r="RKO12" s="513"/>
      <c r="RKP12" s="513"/>
      <c r="RKQ12" s="513"/>
      <c r="RKR12" s="513"/>
      <c r="RKS12" s="513"/>
      <c r="RKT12" s="513"/>
      <c r="RKU12" s="513"/>
      <c r="RKV12" s="513"/>
      <c r="RKW12" s="513"/>
      <c r="RKX12" s="513"/>
      <c r="RKY12" s="513"/>
      <c r="RKZ12" s="513"/>
      <c r="RLA12" s="513"/>
      <c r="RLB12" s="513"/>
      <c r="RLC12" s="513"/>
      <c r="RLD12" s="513"/>
      <c r="RLE12" s="513"/>
      <c r="RLF12" s="513"/>
      <c r="RLG12" s="513"/>
      <c r="RLH12" s="513"/>
      <c r="RLI12" s="513"/>
      <c r="RLJ12" s="513"/>
      <c r="RLK12" s="513"/>
      <c r="RLL12" s="513"/>
      <c r="RLM12" s="513"/>
      <c r="RLN12" s="513"/>
      <c r="RLO12" s="513"/>
      <c r="RLP12" s="513"/>
      <c r="RLQ12" s="513"/>
      <c r="RLR12" s="513"/>
      <c r="RLS12" s="513"/>
      <c r="RLT12" s="513"/>
      <c r="RLU12" s="513"/>
      <c r="RLV12" s="513"/>
      <c r="RLW12" s="513"/>
      <c r="RLX12" s="513"/>
      <c r="RLY12" s="513"/>
      <c r="RLZ12" s="513"/>
      <c r="RMA12" s="513"/>
      <c r="RMB12" s="513"/>
      <c r="RMC12" s="513"/>
      <c r="RMD12" s="513"/>
      <c r="RME12" s="513"/>
      <c r="RMF12" s="513"/>
      <c r="RMG12" s="513"/>
      <c r="RMH12" s="513"/>
      <c r="RMI12" s="513"/>
      <c r="RMJ12" s="513"/>
      <c r="RMK12" s="513"/>
      <c r="RML12" s="513"/>
      <c r="RMM12" s="513"/>
      <c r="RMN12" s="513"/>
      <c r="RMO12" s="513"/>
      <c r="RMP12" s="513"/>
      <c r="RMQ12" s="513"/>
      <c r="RMR12" s="513"/>
      <c r="RMS12" s="513"/>
      <c r="RMT12" s="513"/>
      <c r="RMU12" s="513"/>
      <c r="RMV12" s="513"/>
      <c r="RMW12" s="513"/>
      <c r="RMX12" s="513"/>
      <c r="RMY12" s="513"/>
      <c r="RMZ12" s="513"/>
      <c r="RNA12" s="513"/>
      <c r="RNB12" s="513"/>
      <c r="RNC12" s="513"/>
      <c r="RND12" s="513"/>
      <c r="RNE12" s="513"/>
      <c r="RNF12" s="513"/>
      <c r="RNG12" s="513"/>
      <c r="RNH12" s="513"/>
      <c r="RNI12" s="513"/>
      <c r="RNJ12" s="513"/>
      <c r="RNK12" s="513"/>
      <c r="RNL12" s="513"/>
      <c r="RNM12" s="513"/>
      <c r="RNN12" s="513"/>
      <c r="RNO12" s="513"/>
      <c r="RNP12" s="513"/>
      <c r="RNQ12" s="513"/>
      <c r="RNR12" s="513"/>
      <c r="RNS12" s="513"/>
      <c r="RNT12" s="513"/>
      <c r="RNU12" s="513"/>
      <c r="RNV12" s="513"/>
      <c r="RNW12" s="513"/>
      <c r="RNX12" s="513"/>
      <c r="RNY12" s="513"/>
      <c r="RNZ12" s="513"/>
      <c r="ROA12" s="513"/>
      <c r="ROB12" s="513"/>
      <c r="ROC12" s="513"/>
      <c r="ROD12" s="513"/>
      <c r="ROE12" s="513"/>
      <c r="ROF12" s="513"/>
      <c r="ROG12" s="513"/>
      <c r="ROH12" s="513"/>
      <c r="ROI12" s="513"/>
      <c r="ROJ12" s="513"/>
      <c r="ROK12" s="513"/>
      <c r="ROL12" s="513"/>
      <c r="ROM12" s="513"/>
      <c r="RON12" s="513"/>
      <c r="ROO12" s="513"/>
      <c r="ROP12" s="513"/>
      <c r="ROQ12" s="513"/>
      <c r="ROR12" s="513"/>
      <c r="ROS12" s="513"/>
      <c r="ROT12" s="513"/>
      <c r="ROU12" s="513"/>
      <c r="ROV12" s="513"/>
      <c r="ROW12" s="513"/>
      <c r="ROX12" s="513"/>
      <c r="ROY12" s="513"/>
      <c r="ROZ12" s="513"/>
      <c r="RPA12" s="513"/>
      <c r="RPB12" s="513"/>
      <c r="RPC12" s="513"/>
      <c r="RPD12" s="513"/>
      <c r="RPE12" s="513"/>
      <c r="RPF12" s="513"/>
      <c r="RPG12" s="513"/>
      <c r="RPH12" s="513"/>
      <c r="RPI12" s="513"/>
      <c r="RPJ12" s="513"/>
      <c r="RPK12" s="513"/>
      <c r="RPL12" s="513"/>
      <c r="RPM12" s="513"/>
      <c r="RPN12" s="513"/>
      <c r="RPO12" s="513"/>
      <c r="RPP12" s="513"/>
      <c r="RPQ12" s="513"/>
      <c r="RPR12" s="513"/>
      <c r="RPS12" s="513"/>
      <c r="RPT12" s="513"/>
      <c r="RPU12" s="513"/>
      <c r="RPV12" s="513"/>
      <c r="RPW12" s="513"/>
      <c r="RPX12" s="513"/>
      <c r="RPY12" s="513"/>
      <c r="RPZ12" s="513"/>
      <c r="RQA12" s="513"/>
      <c r="RQB12" s="513"/>
      <c r="RQC12" s="513"/>
      <c r="RQD12" s="513"/>
      <c r="RQE12" s="513"/>
      <c r="RQF12" s="513"/>
      <c r="RQG12" s="513"/>
      <c r="RQH12" s="513"/>
      <c r="RQI12" s="513"/>
      <c r="RQJ12" s="513"/>
      <c r="RQK12" s="513"/>
      <c r="RQL12" s="513"/>
      <c r="RQM12" s="513"/>
      <c r="RQN12" s="513"/>
      <c r="RQO12" s="513"/>
      <c r="RQP12" s="513"/>
      <c r="RQQ12" s="513"/>
      <c r="RQR12" s="513"/>
      <c r="RQS12" s="513"/>
      <c r="RQT12" s="513"/>
      <c r="RQU12" s="513"/>
      <c r="RQV12" s="513"/>
      <c r="RQW12" s="513"/>
      <c r="RQX12" s="513"/>
      <c r="RQY12" s="513"/>
      <c r="RQZ12" s="513"/>
      <c r="RRA12" s="513"/>
      <c r="RRB12" s="513"/>
      <c r="RRC12" s="513"/>
      <c r="RRD12" s="513"/>
      <c r="RRE12" s="513"/>
      <c r="RRF12" s="513"/>
      <c r="RRG12" s="513"/>
      <c r="RRH12" s="513"/>
      <c r="RRI12" s="513"/>
      <c r="RRJ12" s="513"/>
      <c r="RRK12" s="513"/>
      <c r="RRL12" s="513"/>
      <c r="RRM12" s="513"/>
      <c r="RRN12" s="513"/>
      <c r="RRO12" s="513"/>
      <c r="RRP12" s="513"/>
      <c r="RRQ12" s="513"/>
      <c r="RRR12" s="513"/>
      <c r="RRS12" s="513"/>
      <c r="RRT12" s="513"/>
      <c r="RRU12" s="513"/>
      <c r="RRV12" s="513"/>
      <c r="RRW12" s="513"/>
      <c r="RRX12" s="513"/>
      <c r="RRY12" s="513"/>
      <c r="RRZ12" s="513"/>
      <c r="RSA12" s="513"/>
      <c r="RSB12" s="513"/>
      <c r="RSC12" s="513"/>
      <c r="RSD12" s="513"/>
      <c r="RSE12" s="513"/>
      <c r="RSF12" s="513"/>
      <c r="RSG12" s="513"/>
      <c r="RSH12" s="513"/>
      <c r="RSI12" s="513"/>
      <c r="RSJ12" s="513"/>
      <c r="RSK12" s="513"/>
      <c r="RSL12" s="513"/>
      <c r="RSM12" s="513"/>
      <c r="RSN12" s="513"/>
      <c r="RSO12" s="513"/>
      <c r="RSP12" s="513"/>
      <c r="RSQ12" s="513"/>
      <c r="RSR12" s="513"/>
      <c r="RSS12" s="513"/>
      <c r="RST12" s="513"/>
      <c r="RSU12" s="513"/>
      <c r="RSV12" s="513"/>
      <c r="RSW12" s="513"/>
      <c r="RSX12" s="513"/>
      <c r="RSY12" s="513"/>
      <c r="RSZ12" s="513"/>
      <c r="RTA12" s="513"/>
      <c r="RTB12" s="513"/>
      <c r="RTC12" s="513"/>
      <c r="RTD12" s="513"/>
      <c r="RTE12" s="513"/>
      <c r="RTF12" s="513"/>
      <c r="RTG12" s="513"/>
      <c r="RTH12" s="513"/>
      <c r="RTI12" s="513"/>
      <c r="RTJ12" s="513"/>
      <c r="RTK12" s="513"/>
      <c r="RTL12" s="513"/>
      <c r="RTM12" s="513"/>
      <c r="RTN12" s="513"/>
      <c r="RTO12" s="513"/>
      <c r="RTP12" s="513"/>
      <c r="RTQ12" s="513"/>
      <c r="RTR12" s="513"/>
      <c r="RTS12" s="513"/>
      <c r="RTT12" s="513"/>
      <c r="RTU12" s="513"/>
      <c r="RTV12" s="513"/>
      <c r="RTW12" s="513"/>
      <c r="RTX12" s="513"/>
      <c r="RTY12" s="513"/>
      <c r="RTZ12" s="513"/>
      <c r="RUA12" s="513"/>
      <c r="RUB12" s="513"/>
      <c r="RUC12" s="513"/>
      <c r="RUD12" s="513"/>
      <c r="RUE12" s="513"/>
      <c r="RUF12" s="513"/>
      <c r="RUG12" s="513"/>
      <c r="RUH12" s="513"/>
      <c r="RUI12" s="513"/>
      <c r="RUJ12" s="513"/>
      <c r="RUK12" s="513"/>
      <c r="RUL12" s="513"/>
      <c r="RUM12" s="513"/>
      <c r="RUN12" s="513"/>
      <c r="RUO12" s="513"/>
      <c r="RUP12" s="513"/>
      <c r="RUQ12" s="513"/>
      <c r="RUR12" s="513"/>
      <c r="RUS12" s="513"/>
      <c r="RUT12" s="513"/>
      <c r="RUU12" s="513"/>
      <c r="RUV12" s="513"/>
      <c r="RUW12" s="513"/>
      <c r="RUX12" s="513"/>
      <c r="RUY12" s="513"/>
      <c r="RUZ12" s="513"/>
      <c r="RVA12" s="513"/>
      <c r="RVB12" s="513"/>
      <c r="RVC12" s="513"/>
      <c r="RVD12" s="513"/>
      <c r="RVE12" s="513"/>
      <c r="RVF12" s="513"/>
      <c r="RVG12" s="513"/>
      <c r="RVH12" s="513"/>
      <c r="RVI12" s="513"/>
      <c r="RVJ12" s="513"/>
      <c r="RVK12" s="513"/>
      <c r="RVL12" s="513"/>
      <c r="RVM12" s="513"/>
      <c r="RVN12" s="513"/>
      <c r="RVO12" s="513"/>
      <c r="RVP12" s="513"/>
      <c r="RVQ12" s="513"/>
      <c r="RVR12" s="513"/>
      <c r="RVS12" s="513"/>
      <c r="RVT12" s="513"/>
      <c r="RVU12" s="513"/>
      <c r="RVV12" s="513"/>
      <c r="RVW12" s="513"/>
      <c r="RVX12" s="513"/>
      <c r="RVY12" s="513"/>
      <c r="RVZ12" s="513"/>
      <c r="RWA12" s="513"/>
      <c r="RWB12" s="513"/>
      <c r="RWC12" s="513"/>
      <c r="RWD12" s="513"/>
      <c r="RWE12" s="513"/>
      <c r="RWF12" s="513"/>
      <c r="RWG12" s="513"/>
      <c r="RWH12" s="513"/>
      <c r="RWI12" s="513"/>
      <c r="RWJ12" s="513"/>
      <c r="RWK12" s="513"/>
      <c r="RWL12" s="513"/>
      <c r="RWM12" s="513"/>
      <c r="RWN12" s="513"/>
      <c r="RWO12" s="513"/>
      <c r="RWP12" s="513"/>
      <c r="RWQ12" s="513"/>
      <c r="RWR12" s="513"/>
      <c r="RWS12" s="513"/>
      <c r="RWT12" s="513"/>
      <c r="RWU12" s="513"/>
      <c r="RWV12" s="513"/>
      <c r="RWW12" s="513"/>
      <c r="RWX12" s="513"/>
      <c r="RWY12" s="513"/>
      <c r="RWZ12" s="513"/>
      <c r="RXA12" s="513"/>
      <c r="RXB12" s="513"/>
      <c r="RXC12" s="513"/>
      <c r="RXD12" s="513"/>
      <c r="RXE12" s="513"/>
      <c r="RXF12" s="513"/>
      <c r="RXG12" s="513"/>
      <c r="RXH12" s="513"/>
      <c r="RXI12" s="513"/>
      <c r="RXJ12" s="513"/>
      <c r="RXK12" s="513"/>
      <c r="RXL12" s="513"/>
      <c r="RXM12" s="513"/>
      <c r="RXN12" s="513"/>
      <c r="RXO12" s="513"/>
      <c r="RXP12" s="513"/>
      <c r="RXQ12" s="513"/>
      <c r="RXR12" s="513"/>
      <c r="RXS12" s="513"/>
      <c r="RXT12" s="513"/>
      <c r="RXU12" s="513"/>
      <c r="RXV12" s="513"/>
      <c r="RXW12" s="513"/>
      <c r="RXX12" s="513"/>
      <c r="RXY12" s="513"/>
      <c r="RXZ12" s="513"/>
      <c r="RYA12" s="513"/>
      <c r="RYB12" s="513"/>
      <c r="RYC12" s="513"/>
      <c r="RYD12" s="513"/>
      <c r="RYE12" s="513"/>
      <c r="RYF12" s="513"/>
      <c r="RYG12" s="513"/>
      <c r="RYH12" s="513"/>
      <c r="RYI12" s="513"/>
      <c r="RYJ12" s="513"/>
      <c r="RYK12" s="513"/>
      <c r="RYL12" s="513"/>
      <c r="RYM12" s="513"/>
      <c r="RYN12" s="513"/>
      <c r="RYO12" s="513"/>
      <c r="RYP12" s="513"/>
      <c r="RYQ12" s="513"/>
      <c r="RYR12" s="513"/>
      <c r="RYS12" s="513"/>
      <c r="RYT12" s="513"/>
      <c r="RYU12" s="513"/>
      <c r="RYV12" s="513"/>
      <c r="RYW12" s="513"/>
      <c r="RYX12" s="513"/>
      <c r="RYY12" s="513"/>
      <c r="RYZ12" s="513"/>
      <c r="RZA12" s="513"/>
      <c r="RZB12" s="513"/>
      <c r="RZC12" s="513"/>
      <c r="RZD12" s="513"/>
      <c r="RZE12" s="513"/>
      <c r="RZF12" s="513"/>
      <c r="RZG12" s="513"/>
      <c r="RZH12" s="513"/>
      <c r="RZI12" s="513"/>
      <c r="RZJ12" s="513"/>
      <c r="RZK12" s="513"/>
      <c r="RZL12" s="513"/>
      <c r="RZM12" s="513"/>
      <c r="RZN12" s="513"/>
      <c r="RZO12" s="513"/>
      <c r="RZP12" s="513"/>
      <c r="RZQ12" s="513"/>
      <c r="RZR12" s="513"/>
      <c r="RZS12" s="513"/>
      <c r="RZT12" s="513"/>
      <c r="RZU12" s="513"/>
      <c r="RZV12" s="513"/>
      <c r="RZW12" s="513"/>
      <c r="RZX12" s="513"/>
      <c r="RZY12" s="513"/>
      <c r="RZZ12" s="513"/>
      <c r="SAA12" s="513"/>
      <c r="SAB12" s="513"/>
      <c r="SAC12" s="513"/>
      <c r="SAD12" s="513"/>
      <c r="SAE12" s="513"/>
      <c r="SAF12" s="513"/>
      <c r="SAG12" s="513"/>
      <c r="SAH12" s="513"/>
      <c r="SAI12" s="513"/>
      <c r="SAJ12" s="513"/>
      <c r="SAK12" s="513"/>
      <c r="SAL12" s="513"/>
      <c r="SAM12" s="513"/>
      <c r="SAN12" s="513"/>
      <c r="SAO12" s="513"/>
      <c r="SAP12" s="513"/>
      <c r="SAQ12" s="513"/>
      <c r="SAR12" s="513"/>
      <c r="SAS12" s="513"/>
      <c r="SAT12" s="513"/>
      <c r="SAU12" s="513"/>
      <c r="SAV12" s="513"/>
      <c r="SAW12" s="513"/>
      <c r="SAX12" s="513"/>
      <c r="SAY12" s="513"/>
      <c r="SAZ12" s="513"/>
      <c r="SBA12" s="513"/>
      <c r="SBB12" s="513"/>
      <c r="SBC12" s="513"/>
      <c r="SBD12" s="513"/>
      <c r="SBE12" s="513"/>
      <c r="SBF12" s="513"/>
      <c r="SBG12" s="513"/>
      <c r="SBH12" s="513"/>
      <c r="SBI12" s="513"/>
      <c r="SBJ12" s="513"/>
      <c r="SBK12" s="513"/>
      <c r="SBL12" s="513"/>
      <c r="SBM12" s="513"/>
      <c r="SBN12" s="513"/>
      <c r="SBO12" s="513"/>
      <c r="SBP12" s="513"/>
      <c r="SBQ12" s="513"/>
      <c r="SBR12" s="513"/>
      <c r="SBS12" s="513"/>
      <c r="SBT12" s="513"/>
      <c r="SBU12" s="513"/>
      <c r="SBV12" s="513"/>
      <c r="SBW12" s="513"/>
      <c r="SBX12" s="513"/>
      <c r="SBY12" s="513"/>
      <c r="SBZ12" s="513"/>
      <c r="SCA12" s="513"/>
      <c r="SCB12" s="513"/>
      <c r="SCC12" s="513"/>
      <c r="SCD12" s="513"/>
      <c r="SCE12" s="513"/>
      <c r="SCF12" s="513"/>
      <c r="SCG12" s="513"/>
      <c r="SCH12" s="513"/>
      <c r="SCI12" s="513"/>
      <c r="SCJ12" s="513"/>
      <c r="SCK12" s="513"/>
      <c r="SCL12" s="513"/>
      <c r="SCM12" s="513"/>
      <c r="SCN12" s="513"/>
      <c r="SCO12" s="513"/>
      <c r="SCP12" s="513"/>
      <c r="SCQ12" s="513"/>
      <c r="SCR12" s="513"/>
      <c r="SCS12" s="513"/>
      <c r="SCT12" s="513"/>
      <c r="SCU12" s="513"/>
      <c r="SCV12" s="513"/>
      <c r="SCW12" s="513"/>
      <c r="SCX12" s="513"/>
      <c r="SCY12" s="513"/>
      <c r="SCZ12" s="513"/>
      <c r="SDA12" s="513"/>
      <c r="SDB12" s="513"/>
      <c r="SDC12" s="513"/>
      <c r="SDD12" s="513"/>
      <c r="SDE12" s="513"/>
      <c r="SDF12" s="513"/>
      <c r="SDG12" s="513"/>
      <c r="SDH12" s="513"/>
      <c r="SDI12" s="513"/>
      <c r="SDJ12" s="513"/>
      <c r="SDK12" s="513"/>
      <c r="SDL12" s="513"/>
      <c r="SDM12" s="513"/>
      <c r="SDN12" s="513"/>
      <c r="SDO12" s="513"/>
      <c r="SDP12" s="513"/>
      <c r="SDQ12" s="513"/>
      <c r="SDR12" s="513"/>
      <c r="SDS12" s="513"/>
      <c r="SDT12" s="513"/>
      <c r="SDU12" s="513"/>
      <c r="SDV12" s="513"/>
      <c r="SDW12" s="513"/>
      <c r="SDX12" s="513"/>
      <c r="SDY12" s="513"/>
      <c r="SDZ12" s="513"/>
      <c r="SEA12" s="513"/>
      <c r="SEB12" s="513"/>
      <c r="SEC12" s="513"/>
      <c r="SED12" s="513"/>
      <c r="SEE12" s="513"/>
      <c r="SEF12" s="513"/>
      <c r="SEG12" s="513"/>
      <c r="SEH12" s="513"/>
      <c r="SEI12" s="513"/>
      <c r="SEJ12" s="513"/>
      <c r="SEK12" s="513"/>
      <c r="SEL12" s="513"/>
      <c r="SEM12" s="513"/>
      <c r="SEN12" s="513"/>
      <c r="SEO12" s="513"/>
      <c r="SEP12" s="513"/>
      <c r="SEQ12" s="513"/>
      <c r="SER12" s="513"/>
      <c r="SES12" s="513"/>
      <c r="SET12" s="513"/>
      <c r="SEU12" s="513"/>
      <c r="SEV12" s="513"/>
      <c r="SEW12" s="513"/>
      <c r="SEX12" s="513"/>
      <c r="SEY12" s="513"/>
      <c r="SEZ12" s="513"/>
      <c r="SFA12" s="513"/>
      <c r="SFB12" s="513"/>
      <c r="SFC12" s="513"/>
      <c r="SFD12" s="513"/>
      <c r="SFE12" s="513"/>
      <c r="SFF12" s="513"/>
      <c r="SFG12" s="513"/>
      <c r="SFH12" s="513"/>
      <c r="SFI12" s="513"/>
      <c r="SFJ12" s="513"/>
      <c r="SFK12" s="513"/>
      <c r="SFL12" s="513"/>
      <c r="SFM12" s="513"/>
      <c r="SFN12" s="513"/>
      <c r="SFO12" s="513"/>
      <c r="SFP12" s="513"/>
      <c r="SFQ12" s="513"/>
      <c r="SFR12" s="513"/>
      <c r="SFS12" s="513"/>
      <c r="SFT12" s="513"/>
      <c r="SFU12" s="513"/>
      <c r="SFV12" s="513"/>
      <c r="SFW12" s="513"/>
      <c r="SFX12" s="513"/>
      <c r="SFY12" s="513"/>
      <c r="SFZ12" s="513"/>
      <c r="SGA12" s="513"/>
      <c r="SGB12" s="513"/>
      <c r="SGC12" s="513"/>
      <c r="SGD12" s="513"/>
      <c r="SGE12" s="513"/>
      <c r="SGF12" s="513"/>
      <c r="SGG12" s="513"/>
      <c r="SGH12" s="513"/>
      <c r="SGI12" s="513"/>
      <c r="SGJ12" s="513"/>
      <c r="SGK12" s="513"/>
      <c r="SGL12" s="513"/>
      <c r="SGM12" s="513"/>
      <c r="SGN12" s="513"/>
      <c r="SGO12" s="513"/>
      <c r="SGP12" s="513"/>
      <c r="SGQ12" s="513"/>
      <c r="SGR12" s="513"/>
      <c r="SGS12" s="513"/>
      <c r="SGT12" s="513"/>
      <c r="SGU12" s="513"/>
      <c r="SGV12" s="513"/>
      <c r="SGW12" s="513"/>
      <c r="SGX12" s="513"/>
      <c r="SGY12" s="513"/>
      <c r="SGZ12" s="513"/>
      <c r="SHA12" s="513"/>
      <c r="SHB12" s="513"/>
      <c r="SHC12" s="513"/>
      <c r="SHD12" s="513"/>
      <c r="SHE12" s="513"/>
      <c r="SHF12" s="513"/>
      <c r="SHG12" s="513"/>
      <c r="SHH12" s="513"/>
      <c r="SHI12" s="513"/>
      <c r="SHJ12" s="513"/>
      <c r="SHK12" s="513"/>
      <c r="SHL12" s="513"/>
      <c r="SHM12" s="513"/>
      <c r="SHN12" s="513"/>
      <c r="SHO12" s="513"/>
      <c r="SHP12" s="513"/>
      <c r="SHQ12" s="513"/>
      <c r="SHR12" s="513"/>
      <c r="SHS12" s="513"/>
      <c r="SHT12" s="513"/>
      <c r="SHU12" s="513"/>
      <c r="SHV12" s="513"/>
      <c r="SHW12" s="513"/>
      <c r="SHX12" s="513"/>
      <c r="SHY12" s="513"/>
      <c r="SHZ12" s="513"/>
      <c r="SIA12" s="513"/>
      <c r="SIB12" s="513"/>
      <c r="SIC12" s="513"/>
      <c r="SID12" s="513"/>
      <c r="SIE12" s="513"/>
      <c r="SIF12" s="513"/>
      <c r="SIG12" s="513"/>
      <c r="SIH12" s="513"/>
      <c r="SII12" s="513"/>
      <c r="SIJ12" s="513"/>
      <c r="SIK12" s="513"/>
      <c r="SIL12" s="513"/>
      <c r="SIM12" s="513"/>
      <c r="SIN12" s="513"/>
      <c r="SIO12" s="513"/>
      <c r="SIP12" s="513"/>
      <c r="SIQ12" s="513"/>
      <c r="SIR12" s="513"/>
      <c r="SIS12" s="513"/>
      <c r="SIT12" s="513"/>
      <c r="SIU12" s="513"/>
      <c r="SIV12" s="513"/>
      <c r="SIW12" s="513"/>
      <c r="SIX12" s="513"/>
      <c r="SIY12" s="513"/>
      <c r="SIZ12" s="513"/>
      <c r="SJA12" s="513"/>
      <c r="SJB12" s="513"/>
      <c r="SJC12" s="513"/>
      <c r="SJD12" s="513"/>
      <c r="SJE12" s="513"/>
      <c r="SJF12" s="513"/>
      <c r="SJG12" s="513"/>
      <c r="SJH12" s="513"/>
      <c r="SJI12" s="513"/>
      <c r="SJJ12" s="513"/>
      <c r="SJK12" s="513"/>
      <c r="SJL12" s="513"/>
      <c r="SJM12" s="513"/>
      <c r="SJN12" s="513"/>
      <c r="SJO12" s="513"/>
      <c r="SJP12" s="513"/>
      <c r="SJQ12" s="513"/>
      <c r="SJR12" s="513"/>
      <c r="SJS12" s="513"/>
      <c r="SJT12" s="513"/>
      <c r="SJU12" s="513"/>
      <c r="SJV12" s="513"/>
      <c r="SJW12" s="513"/>
      <c r="SJX12" s="513"/>
      <c r="SJY12" s="513"/>
      <c r="SJZ12" s="513"/>
      <c r="SKA12" s="513"/>
      <c r="SKB12" s="513"/>
      <c r="SKC12" s="513"/>
      <c r="SKD12" s="513"/>
      <c r="SKE12" s="513"/>
      <c r="SKF12" s="513"/>
      <c r="SKG12" s="513"/>
      <c r="SKH12" s="513"/>
      <c r="SKI12" s="513"/>
      <c r="SKJ12" s="513"/>
      <c r="SKK12" s="513"/>
      <c r="SKL12" s="513"/>
      <c r="SKM12" s="513"/>
      <c r="SKN12" s="513"/>
      <c r="SKO12" s="513"/>
      <c r="SKP12" s="513"/>
      <c r="SKQ12" s="513"/>
      <c r="SKR12" s="513"/>
      <c r="SKS12" s="513"/>
      <c r="SKT12" s="513"/>
      <c r="SKU12" s="513"/>
      <c r="SKV12" s="513"/>
      <c r="SKW12" s="513"/>
      <c r="SKX12" s="513"/>
      <c r="SKY12" s="513"/>
      <c r="SKZ12" s="513"/>
      <c r="SLA12" s="513"/>
      <c r="SLB12" s="513"/>
      <c r="SLC12" s="513"/>
      <c r="SLD12" s="513"/>
      <c r="SLE12" s="513"/>
      <c r="SLF12" s="513"/>
      <c r="SLG12" s="513"/>
      <c r="SLH12" s="513"/>
      <c r="SLI12" s="513"/>
      <c r="SLJ12" s="513"/>
      <c r="SLK12" s="513"/>
      <c r="SLL12" s="513"/>
      <c r="SLM12" s="513"/>
      <c r="SLN12" s="513"/>
      <c r="SLO12" s="513"/>
      <c r="SLP12" s="513"/>
      <c r="SLQ12" s="513"/>
      <c r="SLR12" s="513"/>
      <c r="SLS12" s="513"/>
      <c r="SLT12" s="513"/>
      <c r="SLU12" s="513"/>
      <c r="SLV12" s="513"/>
      <c r="SLW12" s="513"/>
      <c r="SLX12" s="513"/>
      <c r="SLY12" s="513"/>
      <c r="SLZ12" s="513"/>
      <c r="SMA12" s="513"/>
      <c r="SMB12" s="513"/>
      <c r="SMC12" s="513"/>
      <c r="SMD12" s="513"/>
      <c r="SME12" s="513"/>
      <c r="SMF12" s="513"/>
      <c r="SMG12" s="513"/>
      <c r="SMH12" s="513"/>
      <c r="SMI12" s="513"/>
      <c r="SMJ12" s="513"/>
      <c r="SMK12" s="513"/>
      <c r="SML12" s="513"/>
      <c r="SMM12" s="513"/>
      <c r="SMN12" s="513"/>
      <c r="SMO12" s="513"/>
      <c r="SMP12" s="513"/>
      <c r="SMQ12" s="513"/>
      <c r="SMR12" s="513"/>
      <c r="SMS12" s="513"/>
      <c r="SMT12" s="513"/>
      <c r="SMU12" s="513"/>
      <c r="SMV12" s="513"/>
      <c r="SMW12" s="513"/>
      <c r="SMX12" s="513"/>
      <c r="SMY12" s="513"/>
      <c r="SMZ12" s="513"/>
      <c r="SNA12" s="513"/>
      <c r="SNB12" s="513"/>
      <c r="SNC12" s="513"/>
      <c r="SND12" s="513"/>
      <c r="SNE12" s="513"/>
      <c r="SNF12" s="513"/>
      <c r="SNG12" s="513"/>
      <c r="SNH12" s="513"/>
      <c r="SNI12" s="513"/>
      <c r="SNJ12" s="513"/>
      <c r="SNK12" s="513"/>
      <c r="SNL12" s="513"/>
      <c r="SNM12" s="513"/>
      <c r="SNN12" s="513"/>
      <c r="SNO12" s="513"/>
      <c r="SNP12" s="513"/>
      <c r="SNQ12" s="513"/>
      <c r="SNR12" s="513"/>
      <c r="SNS12" s="513"/>
      <c r="SNT12" s="513"/>
      <c r="SNU12" s="513"/>
      <c r="SNV12" s="513"/>
      <c r="SNW12" s="513"/>
      <c r="SNX12" s="513"/>
      <c r="SNY12" s="513"/>
      <c r="SNZ12" s="513"/>
      <c r="SOA12" s="513"/>
      <c r="SOB12" s="513"/>
      <c r="SOC12" s="513"/>
      <c r="SOD12" s="513"/>
      <c r="SOE12" s="513"/>
      <c r="SOF12" s="513"/>
      <c r="SOG12" s="513"/>
      <c r="SOH12" s="513"/>
      <c r="SOI12" s="513"/>
      <c r="SOJ12" s="513"/>
      <c r="SOK12" s="513"/>
      <c r="SOL12" s="513"/>
      <c r="SOM12" s="513"/>
      <c r="SON12" s="513"/>
      <c r="SOO12" s="513"/>
      <c r="SOP12" s="513"/>
      <c r="SOQ12" s="513"/>
      <c r="SOR12" s="513"/>
      <c r="SOS12" s="513"/>
      <c r="SOT12" s="513"/>
      <c r="SOU12" s="513"/>
      <c r="SOV12" s="513"/>
      <c r="SOW12" s="513"/>
      <c r="SOX12" s="513"/>
      <c r="SOY12" s="513"/>
      <c r="SOZ12" s="513"/>
      <c r="SPA12" s="513"/>
      <c r="SPB12" s="513"/>
      <c r="SPC12" s="513"/>
      <c r="SPD12" s="513"/>
      <c r="SPE12" s="513"/>
      <c r="SPF12" s="513"/>
      <c r="SPG12" s="513"/>
      <c r="SPH12" s="513"/>
      <c r="SPI12" s="513"/>
      <c r="SPJ12" s="513"/>
      <c r="SPK12" s="513"/>
      <c r="SPL12" s="513"/>
      <c r="SPM12" s="513"/>
      <c r="SPN12" s="513"/>
      <c r="SPO12" s="513"/>
      <c r="SPP12" s="513"/>
      <c r="SPQ12" s="513"/>
      <c r="SPR12" s="513"/>
      <c r="SPS12" s="513"/>
      <c r="SPT12" s="513"/>
      <c r="SPU12" s="513"/>
      <c r="SPV12" s="513"/>
      <c r="SPW12" s="513"/>
      <c r="SPX12" s="513"/>
      <c r="SPY12" s="513"/>
      <c r="SPZ12" s="513"/>
      <c r="SQA12" s="513"/>
      <c r="SQB12" s="513"/>
      <c r="SQC12" s="513"/>
      <c r="SQD12" s="513"/>
      <c r="SQE12" s="513"/>
      <c r="SQF12" s="513"/>
      <c r="SQG12" s="513"/>
      <c r="SQH12" s="513"/>
      <c r="SQI12" s="513"/>
      <c r="SQJ12" s="513"/>
      <c r="SQK12" s="513"/>
      <c r="SQL12" s="513"/>
      <c r="SQM12" s="513"/>
      <c r="SQN12" s="513"/>
      <c r="SQO12" s="513"/>
      <c r="SQP12" s="513"/>
      <c r="SQQ12" s="513"/>
      <c r="SQR12" s="513"/>
      <c r="SQS12" s="513"/>
      <c r="SQT12" s="513"/>
      <c r="SQU12" s="513"/>
      <c r="SQV12" s="513"/>
      <c r="SQW12" s="513"/>
      <c r="SQX12" s="513"/>
      <c r="SQY12" s="513"/>
      <c r="SQZ12" s="513"/>
      <c r="SRA12" s="513"/>
      <c r="SRB12" s="513"/>
      <c r="SRC12" s="513"/>
      <c r="SRD12" s="513"/>
      <c r="SRE12" s="513"/>
      <c r="SRF12" s="513"/>
      <c r="SRG12" s="513"/>
      <c r="SRH12" s="513"/>
      <c r="SRI12" s="513"/>
      <c r="SRJ12" s="513"/>
      <c r="SRK12" s="513"/>
      <c r="SRL12" s="513"/>
      <c r="SRM12" s="513"/>
      <c r="SRN12" s="513"/>
      <c r="SRO12" s="513"/>
      <c r="SRP12" s="513"/>
      <c r="SRQ12" s="513"/>
      <c r="SRR12" s="513"/>
      <c r="SRS12" s="513"/>
      <c r="SRT12" s="513"/>
      <c r="SRU12" s="513"/>
      <c r="SRV12" s="513"/>
      <c r="SRW12" s="513"/>
      <c r="SRX12" s="513"/>
      <c r="SRY12" s="513"/>
      <c r="SRZ12" s="513"/>
      <c r="SSA12" s="513"/>
      <c r="SSB12" s="513"/>
      <c r="SSC12" s="513"/>
      <c r="SSD12" s="513"/>
      <c r="SSE12" s="513"/>
      <c r="SSF12" s="513"/>
      <c r="SSG12" s="513"/>
      <c r="SSH12" s="513"/>
      <c r="SSI12" s="513"/>
      <c r="SSJ12" s="513"/>
      <c r="SSK12" s="513"/>
      <c r="SSL12" s="513"/>
      <c r="SSM12" s="513"/>
      <c r="SSN12" s="513"/>
      <c r="SSO12" s="513"/>
      <c r="SSP12" s="513"/>
      <c r="SSQ12" s="513"/>
      <c r="SSR12" s="513"/>
      <c r="SSS12" s="513"/>
      <c r="SST12" s="513"/>
      <c r="SSU12" s="513"/>
      <c r="SSV12" s="513"/>
      <c r="SSW12" s="513"/>
      <c r="SSX12" s="513"/>
      <c r="SSY12" s="513"/>
      <c r="SSZ12" s="513"/>
      <c r="STA12" s="513"/>
      <c r="STB12" s="513"/>
      <c r="STC12" s="513"/>
      <c r="STD12" s="513"/>
      <c r="STE12" s="513"/>
      <c r="STF12" s="513"/>
      <c r="STG12" s="513"/>
      <c r="STH12" s="513"/>
      <c r="STI12" s="513"/>
      <c r="STJ12" s="513"/>
      <c r="STK12" s="513"/>
      <c r="STL12" s="513"/>
      <c r="STM12" s="513"/>
      <c r="STN12" s="513"/>
      <c r="STO12" s="513"/>
      <c r="STP12" s="513"/>
      <c r="STQ12" s="513"/>
      <c r="STR12" s="513"/>
      <c r="STS12" s="513"/>
      <c r="STT12" s="513"/>
      <c r="STU12" s="513"/>
      <c r="STV12" s="513"/>
      <c r="STW12" s="513"/>
      <c r="STX12" s="513"/>
      <c r="STY12" s="513"/>
      <c r="STZ12" s="513"/>
      <c r="SUA12" s="513"/>
      <c r="SUB12" s="513"/>
      <c r="SUC12" s="513"/>
      <c r="SUD12" s="513"/>
      <c r="SUE12" s="513"/>
      <c r="SUF12" s="513"/>
      <c r="SUG12" s="513"/>
      <c r="SUH12" s="513"/>
      <c r="SUI12" s="513"/>
      <c r="SUJ12" s="513"/>
      <c r="SUK12" s="513"/>
      <c r="SUL12" s="513"/>
      <c r="SUM12" s="513"/>
      <c r="SUN12" s="513"/>
      <c r="SUO12" s="513"/>
      <c r="SUP12" s="513"/>
      <c r="SUQ12" s="513"/>
      <c r="SUR12" s="513"/>
      <c r="SUS12" s="513"/>
      <c r="SUT12" s="513"/>
      <c r="SUU12" s="513"/>
      <c r="SUV12" s="513"/>
      <c r="SUW12" s="513"/>
      <c r="SUX12" s="513"/>
      <c r="SUY12" s="513"/>
      <c r="SUZ12" s="513"/>
      <c r="SVA12" s="513"/>
      <c r="SVB12" s="513"/>
      <c r="SVC12" s="513"/>
      <c r="SVD12" s="513"/>
      <c r="SVE12" s="513"/>
      <c r="SVF12" s="513"/>
      <c r="SVG12" s="513"/>
      <c r="SVH12" s="513"/>
      <c r="SVI12" s="513"/>
      <c r="SVJ12" s="513"/>
      <c r="SVK12" s="513"/>
      <c r="SVL12" s="513"/>
      <c r="SVM12" s="513"/>
      <c r="SVN12" s="513"/>
      <c r="SVO12" s="513"/>
      <c r="SVP12" s="513"/>
      <c r="SVQ12" s="513"/>
      <c r="SVR12" s="513"/>
      <c r="SVS12" s="513"/>
      <c r="SVT12" s="513"/>
      <c r="SVU12" s="513"/>
      <c r="SVV12" s="513"/>
      <c r="SVW12" s="513"/>
      <c r="SVX12" s="513"/>
      <c r="SVY12" s="513"/>
      <c r="SVZ12" s="513"/>
      <c r="SWA12" s="513"/>
      <c r="SWB12" s="513"/>
      <c r="SWC12" s="513"/>
      <c r="SWD12" s="513"/>
      <c r="SWE12" s="513"/>
      <c r="SWF12" s="513"/>
      <c r="SWG12" s="513"/>
      <c r="SWH12" s="513"/>
      <c r="SWI12" s="513"/>
      <c r="SWJ12" s="513"/>
      <c r="SWK12" s="513"/>
      <c r="SWL12" s="513"/>
      <c r="SWM12" s="513"/>
      <c r="SWN12" s="513"/>
      <c r="SWO12" s="513"/>
      <c r="SWP12" s="513"/>
      <c r="SWQ12" s="513"/>
      <c r="SWR12" s="513"/>
      <c r="SWS12" s="513"/>
      <c r="SWT12" s="513"/>
      <c r="SWU12" s="513"/>
      <c r="SWV12" s="513"/>
      <c r="SWW12" s="513"/>
      <c r="SWX12" s="513"/>
      <c r="SWY12" s="513"/>
      <c r="SWZ12" s="513"/>
      <c r="SXA12" s="513"/>
      <c r="SXB12" s="513"/>
      <c r="SXC12" s="513"/>
      <c r="SXD12" s="513"/>
      <c r="SXE12" s="513"/>
      <c r="SXF12" s="513"/>
      <c r="SXG12" s="513"/>
      <c r="SXH12" s="513"/>
      <c r="SXI12" s="513"/>
      <c r="SXJ12" s="513"/>
      <c r="SXK12" s="513"/>
      <c r="SXL12" s="513"/>
      <c r="SXM12" s="513"/>
      <c r="SXN12" s="513"/>
      <c r="SXO12" s="513"/>
      <c r="SXP12" s="513"/>
      <c r="SXQ12" s="513"/>
      <c r="SXR12" s="513"/>
      <c r="SXS12" s="513"/>
      <c r="SXT12" s="513"/>
      <c r="SXU12" s="513"/>
      <c r="SXV12" s="513"/>
      <c r="SXW12" s="513"/>
      <c r="SXX12" s="513"/>
      <c r="SXY12" s="513"/>
      <c r="SXZ12" s="513"/>
      <c r="SYA12" s="513"/>
      <c r="SYB12" s="513"/>
      <c r="SYC12" s="513"/>
      <c r="SYD12" s="513"/>
      <c r="SYE12" s="513"/>
      <c r="SYF12" s="513"/>
      <c r="SYG12" s="513"/>
      <c r="SYH12" s="513"/>
      <c r="SYI12" s="513"/>
      <c r="SYJ12" s="513"/>
      <c r="SYK12" s="513"/>
      <c r="SYL12" s="513"/>
      <c r="SYM12" s="513"/>
      <c r="SYN12" s="513"/>
      <c r="SYO12" s="513"/>
      <c r="SYP12" s="513"/>
      <c r="SYQ12" s="513"/>
      <c r="SYR12" s="513"/>
      <c r="SYS12" s="513"/>
      <c r="SYT12" s="513"/>
      <c r="SYU12" s="513"/>
      <c r="SYV12" s="513"/>
      <c r="SYW12" s="513"/>
      <c r="SYX12" s="513"/>
      <c r="SYY12" s="513"/>
      <c r="SYZ12" s="513"/>
      <c r="SZA12" s="513"/>
      <c r="SZB12" s="513"/>
      <c r="SZC12" s="513"/>
      <c r="SZD12" s="513"/>
      <c r="SZE12" s="513"/>
      <c r="SZF12" s="513"/>
      <c r="SZG12" s="513"/>
      <c r="SZH12" s="513"/>
      <c r="SZI12" s="513"/>
      <c r="SZJ12" s="513"/>
      <c r="SZK12" s="513"/>
      <c r="SZL12" s="513"/>
      <c r="SZM12" s="513"/>
      <c r="SZN12" s="513"/>
      <c r="SZO12" s="513"/>
      <c r="SZP12" s="513"/>
      <c r="SZQ12" s="513"/>
      <c r="SZR12" s="513"/>
      <c r="SZS12" s="513"/>
      <c r="SZT12" s="513"/>
      <c r="SZU12" s="513"/>
      <c r="SZV12" s="513"/>
      <c r="SZW12" s="513"/>
      <c r="SZX12" s="513"/>
      <c r="SZY12" s="513"/>
      <c r="SZZ12" s="513"/>
      <c r="TAA12" s="513"/>
      <c r="TAB12" s="513"/>
      <c r="TAC12" s="513"/>
      <c r="TAD12" s="513"/>
      <c r="TAE12" s="513"/>
      <c r="TAF12" s="513"/>
      <c r="TAG12" s="513"/>
      <c r="TAH12" s="513"/>
      <c r="TAI12" s="513"/>
      <c r="TAJ12" s="513"/>
      <c r="TAK12" s="513"/>
      <c r="TAL12" s="513"/>
      <c r="TAM12" s="513"/>
      <c r="TAN12" s="513"/>
      <c r="TAO12" s="513"/>
      <c r="TAP12" s="513"/>
      <c r="TAQ12" s="513"/>
      <c r="TAR12" s="513"/>
      <c r="TAS12" s="513"/>
      <c r="TAT12" s="513"/>
      <c r="TAU12" s="513"/>
      <c r="TAV12" s="513"/>
      <c r="TAW12" s="513"/>
      <c r="TAX12" s="513"/>
      <c r="TAY12" s="513"/>
      <c r="TAZ12" s="513"/>
      <c r="TBA12" s="513"/>
      <c r="TBB12" s="513"/>
      <c r="TBC12" s="513"/>
      <c r="TBD12" s="513"/>
      <c r="TBE12" s="513"/>
      <c r="TBF12" s="513"/>
      <c r="TBG12" s="513"/>
      <c r="TBH12" s="513"/>
      <c r="TBI12" s="513"/>
      <c r="TBJ12" s="513"/>
      <c r="TBK12" s="513"/>
      <c r="TBL12" s="513"/>
      <c r="TBM12" s="513"/>
      <c r="TBN12" s="513"/>
      <c r="TBO12" s="513"/>
      <c r="TBP12" s="513"/>
      <c r="TBQ12" s="513"/>
      <c r="TBR12" s="513"/>
      <c r="TBS12" s="513"/>
      <c r="TBT12" s="513"/>
      <c r="TBU12" s="513"/>
      <c r="TBV12" s="513"/>
      <c r="TBW12" s="513"/>
      <c r="TBX12" s="513"/>
      <c r="TBY12" s="513"/>
      <c r="TBZ12" s="513"/>
      <c r="TCA12" s="513"/>
      <c r="TCB12" s="513"/>
      <c r="TCC12" s="513"/>
      <c r="TCD12" s="513"/>
      <c r="TCE12" s="513"/>
      <c r="TCF12" s="513"/>
      <c r="TCG12" s="513"/>
      <c r="TCH12" s="513"/>
      <c r="TCI12" s="513"/>
      <c r="TCJ12" s="513"/>
      <c r="TCK12" s="513"/>
      <c r="TCL12" s="513"/>
      <c r="TCM12" s="513"/>
      <c r="TCN12" s="513"/>
      <c r="TCO12" s="513"/>
      <c r="TCP12" s="513"/>
      <c r="TCQ12" s="513"/>
      <c r="TCR12" s="513"/>
      <c r="TCS12" s="513"/>
      <c r="TCT12" s="513"/>
      <c r="TCU12" s="513"/>
      <c r="TCV12" s="513"/>
      <c r="TCW12" s="513"/>
      <c r="TCX12" s="513"/>
      <c r="TCY12" s="513"/>
      <c r="TCZ12" s="513"/>
      <c r="TDA12" s="513"/>
      <c r="TDB12" s="513"/>
      <c r="TDC12" s="513"/>
      <c r="TDD12" s="513"/>
      <c r="TDE12" s="513"/>
      <c r="TDF12" s="513"/>
      <c r="TDG12" s="513"/>
      <c r="TDH12" s="513"/>
      <c r="TDI12" s="513"/>
      <c r="TDJ12" s="513"/>
      <c r="TDK12" s="513"/>
      <c r="TDL12" s="513"/>
      <c r="TDM12" s="513"/>
      <c r="TDN12" s="513"/>
      <c r="TDO12" s="513"/>
      <c r="TDP12" s="513"/>
      <c r="TDQ12" s="513"/>
      <c r="TDR12" s="513"/>
      <c r="TDS12" s="513"/>
      <c r="TDT12" s="513"/>
      <c r="TDU12" s="513"/>
      <c r="TDV12" s="513"/>
      <c r="TDW12" s="513"/>
      <c r="TDX12" s="513"/>
      <c r="TDY12" s="513"/>
      <c r="TDZ12" s="513"/>
      <c r="TEA12" s="513"/>
      <c r="TEB12" s="513"/>
      <c r="TEC12" s="513"/>
      <c r="TED12" s="513"/>
      <c r="TEE12" s="513"/>
      <c r="TEF12" s="513"/>
      <c r="TEG12" s="513"/>
      <c r="TEH12" s="513"/>
      <c r="TEI12" s="513"/>
      <c r="TEJ12" s="513"/>
      <c r="TEK12" s="513"/>
      <c r="TEL12" s="513"/>
      <c r="TEM12" s="513"/>
      <c r="TEN12" s="513"/>
      <c r="TEO12" s="513"/>
      <c r="TEP12" s="513"/>
      <c r="TEQ12" s="513"/>
      <c r="TER12" s="513"/>
      <c r="TES12" s="513"/>
      <c r="TET12" s="513"/>
      <c r="TEU12" s="513"/>
      <c r="TEV12" s="513"/>
      <c r="TEW12" s="513"/>
      <c r="TEX12" s="513"/>
      <c r="TEY12" s="513"/>
      <c r="TEZ12" s="513"/>
      <c r="TFA12" s="513"/>
      <c r="TFB12" s="513"/>
      <c r="TFC12" s="513"/>
      <c r="TFD12" s="513"/>
      <c r="TFE12" s="513"/>
      <c r="TFF12" s="513"/>
      <c r="TFG12" s="513"/>
      <c r="TFH12" s="513"/>
      <c r="TFI12" s="513"/>
      <c r="TFJ12" s="513"/>
      <c r="TFK12" s="513"/>
      <c r="TFL12" s="513"/>
      <c r="TFM12" s="513"/>
      <c r="TFN12" s="513"/>
      <c r="TFO12" s="513"/>
      <c r="TFP12" s="513"/>
      <c r="TFQ12" s="513"/>
      <c r="TFR12" s="513"/>
      <c r="TFS12" s="513"/>
      <c r="TFT12" s="513"/>
      <c r="TFU12" s="513"/>
      <c r="TFV12" s="513"/>
      <c r="TFW12" s="513"/>
      <c r="TFX12" s="513"/>
      <c r="TFY12" s="513"/>
      <c r="TFZ12" s="513"/>
      <c r="TGA12" s="513"/>
      <c r="TGB12" s="513"/>
      <c r="TGC12" s="513"/>
      <c r="TGD12" s="513"/>
      <c r="TGE12" s="513"/>
      <c r="TGF12" s="513"/>
      <c r="TGG12" s="513"/>
      <c r="TGH12" s="513"/>
      <c r="TGI12" s="513"/>
      <c r="TGJ12" s="513"/>
      <c r="TGK12" s="513"/>
      <c r="TGL12" s="513"/>
      <c r="TGM12" s="513"/>
      <c r="TGN12" s="513"/>
      <c r="TGO12" s="513"/>
      <c r="TGP12" s="513"/>
      <c r="TGQ12" s="513"/>
      <c r="TGR12" s="513"/>
      <c r="TGS12" s="513"/>
      <c r="TGT12" s="513"/>
      <c r="TGU12" s="513"/>
      <c r="TGV12" s="513"/>
      <c r="TGW12" s="513"/>
      <c r="TGX12" s="513"/>
      <c r="TGY12" s="513"/>
      <c r="TGZ12" s="513"/>
      <c r="THA12" s="513"/>
      <c r="THB12" s="513"/>
      <c r="THC12" s="513"/>
      <c r="THD12" s="513"/>
      <c r="THE12" s="513"/>
      <c r="THF12" s="513"/>
      <c r="THG12" s="513"/>
      <c r="THH12" s="513"/>
      <c r="THI12" s="513"/>
      <c r="THJ12" s="513"/>
      <c r="THK12" s="513"/>
      <c r="THL12" s="513"/>
      <c r="THM12" s="513"/>
      <c r="THN12" s="513"/>
      <c r="THO12" s="513"/>
      <c r="THP12" s="513"/>
      <c r="THQ12" s="513"/>
      <c r="THR12" s="513"/>
      <c r="THS12" s="513"/>
      <c r="THT12" s="513"/>
      <c r="THU12" s="513"/>
      <c r="THV12" s="513"/>
      <c r="THW12" s="513"/>
      <c r="THX12" s="513"/>
      <c r="THY12" s="513"/>
      <c r="THZ12" s="513"/>
      <c r="TIA12" s="513"/>
      <c r="TIB12" s="513"/>
      <c r="TIC12" s="513"/>
      <c r="TID12" s="513"/>
      <c r="TIE12" s="513"/>
      <c r="TIF12" s="513"/>
      <c r="TIG12" s="513"/>
      <c r="TIH12" s="513"/>
      <c r="TII12" s="513"/>
      <c r="TIJ12" s="513"/>
      <c r="TIK12" s="513"/>
      <c r="TIL12" s="513"/>
      <c r="TIM12" s="513"/>
      <c r="TIN12" s="513"/>
      <c r="TIO12" s="513"/>
      <c r="TIP12" s="513"/>
      <c r="TIQ12" s="513"/>
      <c r="TIR12" s="513"/>
      <c r="TIS12" s="513"/>
      <c r="TIT12" s="513"/>
      <c r="TIU12" s="513"/>
      <c r="TIV12" s="513"/>
      <c r="TIW12" s="513"/>
      <c r="TIX12" s="513"/>
      <c r="TIY12" s="513"/>
      <c r="TIZ12" s="513"/>
      <c r="TJA12" s="513"/>
      <c r="TJB12" s="513"/>
      <c r="TJC12" s="513"/>
      <c r="TJD12" s="513"/>
      <c r="TJE12" s="513"/>
      <c r="TJF12" s="513"/>
      <c r="TJG12" s="513"/>
      <c r="TJH12" s="513"/>
      <c r="TJI12" s="513"/>
      <c r="TJJ12" s="513"/>
      <c r="TJK12" s="513"/>
      <c r="TJL12" s="513"/>
      <c r="TJM12" s="513"/>
      <c r="TJN12" s="513"/>
      <c r="TJO12" s="513"/>
      <c r="TJP12" s="513"/>
      <c r="TJQ12" s="513"/>
      <c r="TJR12" s="513"/>
      <c r="TJS12" s="513"/>
      <c r="TJT12" s="513"/>
      <c r="TJU12" s="513"/>
      <c r="TJV12" s="513"/>
      <c r="TJW12" s="513"/>
      <c r="TJX12" s="513"/>
      <c r="TJY12" s="513"/>
      <c r="TJZ12" s="513"/>
      <c r="TKA12" s="513"/>
      <c r="TKB12" s="513"/>
      <c r="TKC12" s="513"/>
      <c r="TKD12" s="513"/>
      <c r="TKE12" s="513"/>
      <c r="TKF12" s="513"/>
      <c r="TKG12" s="513"/>
      <c r="TKH12" s="513"/>
      <c r="TKI12" s="513"/>
      <c r="TKJ12" s="513"/>
      <c r="TKK12" s="513"/>
      <c r="TKL12" s="513"/>
      <c r="TKM12" s="513"/>
      <c r="TKN12" s="513"/>
      <c r="TKO12" s="513"/>
      <c r="TKP12" s="513"/>
      <c r="TKQ12" s="513"/>
      <c r="TKR12" s="513"/>
      <c r="TKS12" s="513"/>
      <c r="TKT12" s="513"/>
      <c r="TKU12" s="513"/>
      <c r="TKV12" s="513"/>
      <c r="TKW12" s="513"/>
      <c r="TKX12" s="513"/>
      <c r="TKY12" s="513"/>
      <c r="TKZ12" s="513"/>
      <c r="TLA12" s="513"/>
      <c r="TLB12" s="513"/>
      <c r="TLC12" s="513"/>
      <c r="TLD12" s="513"/>
      <c r="TLE12" s="513"/>
      <c r="TLF12" s="513"/>
      <c r="TLG12" s="513"/>
      <c r="TLH12" s="513"/>
      <c r="TLI12" s="513"/>
      <c r="TLJ12" s="513"/>
      <c r="TLK12" s="513"/>
      <c r="TLL12" s="513"/>
      <c r="TLM12" s="513"/>
      <c r="TLN12" s="513"/>
      <c r="TLO12" s="513"/>
      <c r="TLP12" s="513"/>
      <c r="TLQ12" s="513"/>
      <c r="TLR12" s="513"/>
      <c r="TLS12" s="513"/>
      <c r="TLT12" s="513"/>
      <c r="TLU12" s="513"/>
      <c r="TLV12" s="513"/>
      <c r="TLW12" s="513"/>
      <c r="TLX12" s="513"/>
      <c r="TLY12" s="513"/>
      <c r="TLZ12" s="513"/>
      <c r="TMA12" s="513"/>
      <c r="TMB12" s="513"/>
      <c r="TMC12" s="513"/>
      <c r="TMD12" s="513"/>
      <c r="TME12" s="513"/>
      <c r="TMF12" s="513"/>
      <c r="TMG12" s="513"/>
      <c r="TMH12" s="513"/>
      <c r="TMI12" s="513"/>
      <c r="TMJ12" s="513"/>
      <c r="TMK12" s="513"/>
      <c r="TML12" s="513"/>
      <c r="TMM12" s="513"/>
      <c r="TMN12" s="513"/>
      <c r="TMO12" s="513"/>
      <c r="TMP12" s="513"/>
      <c r="TMQ12" s="513"/>
      <c r="TMR12" s="513"/>
      <c r="TMS12" s="513"/>
      <c r="TMT12" s="513"/>
      <c r="TMU12" s="513"/>
      <c r="TMV12" s="513"/>
      <c r="TMW12" s="513"/>
      <c r="TMX12" s="513"/>
      <c r="TMY12" s="513"/>
      <c r="TMZ12" s="513"/>
      <c r="TNA12" s="513"/>
      <c r="TNB12" s="513"/>
      <c r="TNC12" s="513"/>
      <c r="TND12" s="513"/>
      <c r="TNE12" s="513"/>
      <c r="TNF12" s="513"/>
      <c r="TNG12" s="513"/>
      <c r="TNH12" s="513"/>
      <c r="TNI12" s="513"/>
      <c r="TNJ12" s="513"/>
      <c r="TNK12" s="513"/>
      <c r="TNL12" s="513"/>
      <c r="TNM12" s="513"/>
      <c r="TNN12" s="513"/>
      <c r="TNO12" s="513"/>
      <c r="TNP12" s="513"/>
      <c r="TNQ12" s="513"/>
      <c r="TNR12" s="513"/>
      <c r="TNS12" s="513"/>
      <c r="TNT12" s="513"/>
      <c r="TNU12" s="513"/>
      <c r="TNV12" s="513"/>
      <c r="TNW12" s="513"/>
      <c r="TNX12" s="513"/>
      <c r="TNY12" s="513"/>
      <c r="TNZ12" s="513"/>
      <c r="TOA12" s="513"/>
      <c r="TOB12" s="513"/>
      <c r="TOC12" s="513"/>
      <c r="TOD12" s="513"/>
      <c r="TOE12" s="513"/>
      <c r="TOF12" s="513"/>
      <c r="TOG12" s="513"/>
      <c r="TOH12" s="513"/>
      <c r="TOI12" s="513"/>
      <c r="TOJ12" s="513"/>
      <c r="TOK12" s="513"/>
      <c r="TOL12" s="513"/>
      <c r="TOM12" s="513"/>
      <c r="TON12" s="513"/>
      <c r="TOO12" s="513"/>
      <c r="TOP12" s="513"/>
      <c r="TOQ12" s="513"/>
      <c r="TOR12" s="513"/>
      <c r="TOS12" s="513"/>
      <c r="TOT12" s="513"/>
      <c r="TOU12" s="513"/>
      <c r="TOV12" s="513"/>
      <c r="TOW12" s="513"/>
      <c r="TOX12" s="513"/>
      <c r="TOY12" s="513"/>
      <c r="TOZ12" s="513"/>
      <c r="TPA12" s="513"/>
      <c r="TPB12" s="513"/>
      <c r="TPC12" s="513"/>
      <c r="TPD12" s="513"/>
      <c r="TPE12" s="513"/>
      <c r="TPF12" s="513"/>
      <c r="TPG12" s="513"/>
      <c r="TPH12" s="513"/>
      <c r="TPI12" s="513"/>
      <c r="TPJ12" s="513"/>
      <c r="TPK12" s="513"/>
      <c r="TPL12" s="513"/>
      <c r="TPM12" s="513"/>
      <c r="TPN12" s="513"/>
      <c r="TPO12" s="513"/>
      <c r="TPP12" s="513"/>
      <c r="TPQ12" s="513"/>
      <c r="TPR12" s="513"/>
      <c r="TPS12" s="513"/>
      <c r="TPT12" s="513"/>
      <c r="TPU12" s="513"/>
      <c r="TPV12" s="513"/>
      <c r="TPW12" s="513"/>
      <c r="TPX12" s="513"/>
      <c r="TPY12" s="513"/>
      <c r="TPZ12" s="513"/>
      <c r="TQA12" s="513"/>
      <c r="TQB12" s="513"/>
      <c r="TQC12" s="513"/>
      <c r="TQD12" s="513"/>
      <c r="TQE12" s="513"/>
      <c r="TQF12" s="513"/>
      <c r="TQG12" s="513"/>
      <c r="TQH12" s="513"/>
      <c r="TQI12" s="513"/>
      <c r="TQJ12" s="513"/>
      <c r="TQK12" s="513"/>
      <c r="TQL12" s="513"/>
      <c r="TQM12" s="513"/>
      <c r="TQN12" s="513"/>
      <c r="TQO12" s="513"/>
      <c r="TQP12" s="513"/>
      <c r="TQQ12" s="513"/>
      <c r="TQR12" s="513"/>
      <c r="TQS12" s="513"/>
      <c r="TQT12" s="513"/>
      <c r="TQU12" s="513"/>
      <c r="TQV12" s="513"/>
      <c r="TQW12" s="513"/>
      <c r="TQX12" s="513"/>
      <c r="TQY12" s="513"/>
      <c r="TQZ12" s="513"/>
      <c r="TRA12" s="513"/>
      <c r="TRB12" s="513"/>
      <c r="TRC12" s="513"/>
      <c r="TRD12" s="513"/>
      <c r="TRE12" s="513"/>
      <c r="TRF12" s="513"/>
      <c r="TRG12" s="513"/>
      <c r="TRH12" s="513"/>
      <c r="TRI12" s="513"/>
      <c r="TRJ12" s="513"/>
      <c r="TRK12" s="513"/>
      <c r="TRL12" s="513"/>
      <c r="TRM12" s="513"/>
      <c r="TRN12" s="513"/>
      <c r="TRO12" s="513"/>
      <c r="TRP12" s="513"/>
      <c r="TRQ12" s="513"/>
      <c r="TRR12" s="513"/>
      <c r="TRS12" s="513"/>
      <c r="TRT12" s="513"/>
      <c r="TRU12" s="513"/>
      <c r="TRV12" s="513"/>
      <c r="TRW12" s="513"/>
      <c r="TRX12" s="513"/>
      <c r="TRY12" s="513"/>
      <c r="TRZ12" s="513"/>
      <c r="TSA12" s="513"/>
      <c r="TSB12" s="513"/>
      <c r="TSC12" s="513"/>
      <c r="TSD12" s="513"/>
      <c r="TSE12" s="513"/>
      <c r="TSF12" s="513"/>
      <c r="TSG12" s="513"/>
      <c r="TSH12" s="513"/>
      <c r="TSI12" s="513"/>
      <c r="TSJ12" s="513"/>
      <c r="TSK12" s="513"/>
      <c r="TSL12" s="513"/>
      <c r="TSM12" s="513"/>
      <c r="TSN12" s="513"/>
      <c r="TSO12" s="513"/>
      <c r="TSP12" s="513"/>
      <c r="TSQ12" s="513"/>
      <c r="TSR12" s="513"/>
      <c r="TSS12" s="513"/>
      <c r="TST12" s="513"/>
      <c r="TSU12" s="513"/>
      <c r="TSV12" s="513"/>
      <c r="TSW12" s="513"/>
      <c r="TSX12" s="513"/>
      <c r="TSY12" s="513"/>
      <c r="TSZ12" s="513"/>
      <c r="TTA12" s="513"/>
      <c r="TTB12" s="513"/>
      <c r="TTC12" s="513"/>
      <c r="TTD12" s="513"/>
      <c r="TTE12" s="513"/>
      <c r="TTF12" s="513"/>
      <c r="TTG12" s="513"/>
      <c r="TTH12" s="513"/>
      <c r="TTI12" s="513"/>
      <c r="TTJ12" s="513"/>
      <c r="TTK12" s="513"/>
      <c r="TTL12" s="513"/>
      <c r="TTM12" s="513"/>
      <c r="TTN12" s="513"/>
      <c r="TTO12" s="513"/>
      <c r="TTP12" s="513"/>
      <c r="TTQ12" s="513"/>
      <c r="TTR12" s="513"/>
      <c r="TTS12" s="513"/>
      <c r="TTT12" s="513"/>
      <c r="TTU12" s="513"/>
      <c r="TTV12" s="513"/>
      <c r="TTW12" s="513"/>
      <c r="TTX12" s="513"/>
      <c r="TTY12" s="513"/>
      <c r="TTZ12" s="513"/>
      <c r="TUA12" s="513"/>
      <c r="TUB12" s="513"/>
      <c r="TUC12" s="513"/>
      <c r="TUD12" s="513"/>
      <c r="TUE12" s="513"/>
      <c r="TUF12" s="513"/>
      <c r="TUG12" s="513"/>
      <c r="TUH12" s="513"/>
      <c r="TUI12" s="513"/>
      <c r="TUJ12" s="513"/>
      <c r="TUK12" s="513"/>
      <c r="TUL12" s="513"/>
      <c r="TUM12" s="513"/>
      <c r="TUN12" s="513"/>
      <c r="TUO12" s="513"/>
      <c r="TUP12" s="513"/>
      <c r="TUQ12" s="513"/>
      <c r="TUR12" s="513"/>
      <c r="TUS12" s="513"/>
      <c r="TUT12" s="513"/>
      <c r="TUU12" s="513"/>
      <c r="TUV12" s="513"/>
      <c r="TUW12" s="513"/>
      <c r="TUX12" s="513"/>
      <c r="TUY12" s="513"/>
      <c r="TUZ12" s="513"/>
      <c r="TVA12" s="513"/>
      <c r="TVB12" s="513"/>
      <c r="TVC12" s="513"/>
      <c r="TVD12" s="513"/>
      <c r="TVE12" s="513"/>
      <c r="TVF12" s="513"/>
      <c r="TVG12" s="513"/>
      <c r="TVH12" s="513"/>
      <c r="TVI12" s="513"/>
      <c r="TVJ12" s="513"/>
      <c r="TVK12" s="513"/>
      <c r="TVL12" s="513"/>
      <c r="TVM12" s="513"/>
      <c r="TVN12" s="513"/>
      <c r="TVO12" s="513"/>
      <c r="TVP12" s="513"/>
      <c r="TVQ12" s="513"/>
      <c r="TVR12" s="513"/>
      <c r="TVS12" s="513"/>
      <c r="TVT12" s="513"/>
      <c r="TVU12" s="513"/>
      <c r="TVV12" s="513"/>
      <c r="TVW12" s="513"/>
      <c r="TVX12" s="513"/>
      <c r="TVY12" s="513"/>
      <c r="TVZ12" s="513"/>
      <c r="TWA12" s="513"/>
      <c r="TWB12" s="513"/>
      <c r="TWC12" s="513"/>
      <c r="TWD12" s="513"/>
      <c r="TWE12" s="513"/>
      <c r="TWF12" s="513"/>
      <c r="TWG12" s="513"/>
      <c r="TWH12" s="513"/>
      <c r="TWI12" s="513"/>
      <c r="TWJ12" s="513"/>
      <c r="TWK12" s="513"/>
      <c r="TWL12" s="513"/>
      <c r="TWM12" s="513"/>
      <c r="TWN12" s="513"/>
      <c r="TWO12" s="513"/>
      <c r="TWP12" s="513"/>
      <c r="TWQ12" s="513"/>
      <c r="TWR12" s="513"/>
      <c r="TWS12" s="513"/>
      <c r="TWT12" s="513"/>
      <c r="TWU12" s="513"/>
      <c r="TWV12" s="513"/>
      <c r="TWW12" s="513"/>
      <c r="TWX12" s="513"/>
      <c r="TWY12" s="513"/>
      <c r="TWZ12" s="513"/>
      <c r="TXA12" s="513"/>
      <c r="TXB12" s="513"/>
      <c r="TXC12" s="513"/>
      <c r="TXD12" s="513"/>
      <c r="TXE12" s="513"/>
      <c r="TXF12" s="513"/>
      <c r="TXG12" s="513"/>
      <c r="TXH12" s="513"/>
      <c r="TXI12" s="513"/>
      <c r="TXJ12" s="513"/>
      <c r="TXK12" s="513"/>
      <c r="TXL12" s="513"/>
      <c r="TXM12" s="513"/>
      <c r="TXN12" s="513"/>
      <c r="TXO12" s="513"/>
      <c r="TXP12" s="513"/>
      <c r="TXQ12" s="513"/>
      <c r="TXR12" s="513"/>
      <c r="TXS12" s="513"/>
      <c r="TXT12" s="513"/>
      <c r="TXU12" s="513"/>
      <c r="TXV12" s="513"/>
      <c r="TXW12" s="513"/>
      <c r="TXX12" s="513"/>
      <c r="TXY12" s="513"/>
      <c r="TXZ12" s="513"/>
      <c r="TYA12" s="513"/>
      <c r="TYB12" s="513"/>
      <c r="TYC12" s="513"/>
      <c r="TYD12" s="513"/>
      <c r="TYE12" s="513"/>
      <c r="TYF12" s="513"/>
      <c r="TYG12" s="513"/>
      <c r="TYH12" s="513"/>
      <c r="TYI12" s="513"/>
      <c r="TYJ12" s="513"/>
      <c r="TYK12" s="513"/>
      <c r="TYL12" s="513"/>
      <c r="TYM12" s="513"/>
      <c r="TYN12" s="513"/>
      <c r="TYO12" s="513"/>
      <c r="TYP12" s="513"/>
      <c r="TYQ12" s="513"/>
      <c r="TYR12" s="513"/>
      <c r="TYS12" s="513"/>
      <c r="TYT12" s="513"/>
      <c r="TYU12" s="513"/>
      <c r="TYV12" s="513"/>
      <c r="TYW12" s="513"/>
      <c r="TYX12" s="513"/>
      <c r="TYY12" s="513"/>
      <c r="TYZ12" s="513"/>
      <c r="TZA12" s="513"/>
      <c r="TZB12" s="513"/>
      <c r="TZC12" s="513"/>
      <c r="TZD12" s="513"/>
      <c r="TZE12" s="513"/>
      <c r="TZF12" s="513"/>
      <c r="TZG12" s="513"/>
      <c r="TZH12" s="513"/>
      <c r="TZI12" s="513"/>
      <c r="TZJ12" s="513"/>
      <c r="TZK12" s="513"/>
      <c r="TZL12" s="513"/>
      <c r="TZM12" s="513"/>
      <c r="TZN12" s="513"/>
      <c r="TZO12" s="513"/>
      <c r="TZP12" s="513"/>
      <c r="TZQ12" s="513"/>
      <c r="TZR12" s="513"/>
      <c r="TZS12" s="513"/>
      <c r="TZT12" s="513"/>
      <c r="TZU12" s="513"/>
      <c r="TZV12" s="513"/>
      <c r="TZW12" s="513"/>
      <c r="TZX12" s="513"/>
      <c r="TZY12" s="513"/>
      <c r="TZZ12" s="513"/>
      <c r="UAA12" s="513"/>
      <c r="UAB12" s="513"/>
      <c r="UAC12" s="513"/>
      <c r="UAD12" s="513"/>
      <c r="UAE12" s="513"/>
      <c r="UAF12" s="513"/>
      <c r="UAG12" s="513"/>
      <c r="UAH12" s="513"/>
      <c r="UAI12" s="513"/>
      <c r="UAJ12" s="513"/>
      <c r="UAK12" s="513"/>
      <c r="UAL12" s="513"/>
      <c r="UAM12" s="513"/>
      <c r="UAN12" s="513"/>
      <c r="UAO12" s="513"/>
      <c r="UAP12" s="513"/>
      <c r="UAQ12" s="513"/>
      <c r="UAR12" s="513"/>
      <c r="UAS12" s="513"/>
      <c r="UAT12" s="513"/>
      <c r="UAU12" s="513"/>
      <c r="UAV12" s="513"/>
      <c r="UAW12" s="513"/>
      <c r="UAX12" s="513"/>
      <c r="UAY12" s="513"/>
      <c r="UAZ12" s="513"/>
      <c r="UBA12" s="513"/>
      <c r="UBB12" s="513"/>
      <c r="UBC12" s="513"/>
      <c r="UBD12" s="513"/>
      <c r="UBE12" s="513"/>
      <c r="UBF12" s="513"/>
      <c r="UBG12" s="513"/>
      <c r="UBH12" s="513"/>
      <c r="UBI12" s="513"/>
      <c r="UBJ12" s="513"/>
      <c r="UBK12" s="513"/>
      <c r="UBL12" s="513"/>
      <c r="UBM12" s="513"/>
      <c r="UBN12" s="513"/>
      <c r="UBO12" s="513"/>
      <c r="UBP12" s="513"/>
      <c r="UBQ12" s="513"/>
      <c r="UBR12" s="513"/>
      <c r="UBS12" s="513"/>
      <c r="UBT12" s="513"/>
      <c r="UBU12" s="513"/>
      <c r="UBV12" s="513"/>
      <c r="UBW12" s="513"/>
      <c r="UBX12" s="513"/>
      <c r="UBY12" s="513"/>
      <c r="UBZ12" s="513"/>
      <c r="UCA12" s="513"/>
      <c r="UCB12" s="513"/>
      <c r="UCC12" s="513"/>
      <c r="UCD12" s="513"/>
      <c r="UCE12" s="513"/>
      <c r="UCF12" s="513"/>
      <c r="UCG12" s="513"/>
      <c r="UCH12" s="513"/>
      <c r="UCI12" s="513"/>
      <c r="UCJ12" s="513"/>
      <c r="UCK12" s="513"/>
      <c r="UCL12" s="513"/>
      <c r="UCM12" s="513"/>
      <c r="UCN12" s="513"/>
      <c r="UCO12" s="513"/>
      <c r="UCP12" s="513"/>
      <c r="UCQ12" s="513"/>
      <c r="UCR12" s="513"/>
      <c r="UCS12" s="513"/>
      <c r="UCT12" s="513"/>
      <c r="UCU12" s="513"/>
      <c r="UCV12" s="513"/>
      <c r="UCW12" s="513"/>
      <c r="UCX12" s="513"/>
      <c r="UCY12" s="513"/>
      <c r="UCZ12" s="513"/>
      <c r="UDA12" s="513"/>
      <c r="UDB12" s="513"/>
      <c r="UDC12" s="513"/>
      <c r="UDD12" s="513"/>
      <c r="UDE12" s="513"/>
      <c r="UDF12" s="513"/>
      <c r="UDG12" s="513"/>
      <c r="UDH12" s="513"/>
      <c r="UDI12" s="513"/>
      <c r="UDJ12" s="513"/>
      <c r="UDK12" s="513"/>
      <c r="UDL12" s="513"/>
      <c r="UDM12" s="513"/>
      <c r="UDN12" s="513"/>
      <c r="UDO12" s="513"/>
      <c r="UDP12" s="513"/>
      <c r="UDQ12" s="513"/>
      <c r="UDR12" s="513"/>
      <c r="UDS12" s="513"/>
      <c r="UDT12" s="513"/>
      <c r="UDU12" s="513"/>
      <c r="UDV12" s="513"/>
      <c r="UDW12" s="513"/>
      <c r="UDX12" s="513"/>
      <c r="UDY12" s="513"/>
      <c r="UDZ12" s="513"/>
      <c r="UEA12" s="513"/>
      <c r="UEB12" s="513"/>
      <c r="UEC12" s="513"/>
      <c r="UED12" s="513"/>
      <c r="UEE12" s="513"/>
      <c r="UEF12" s="513"/>
      <c r="UEG12" s="513"/>
      <c r="UEH12" s="513"/>
      <c r="UEI12" s="513"/>
      <c r="UEJ12" s="513"/>
      <c r="UEK12" s="513"/>
      <c r="UEL12" s="513"/>
      <c r="UEM12" s="513"/>
      <c r="UEN12" s="513"/>
      <c r="UEO12" s="513"/>
      <c r="UEP12" s="513"/>
      <c r="UEQ12" s="513"/>
      <c r="UER12" s="513"/>
      <c r="UES12" s="513"/>
      <c r="UET12" s="513"/>
      <c r="UEU12" s="513"/>
      <c r="UEV12" s="513"/>
      <c r="UEW12" s="513"/>
      <c r="UEX12" s="513"/>
      <c r="UEY12" s="513"/>
      <c r="UEZ12" s="513"/>
      <c r="UFA12" s="513"/>
      <c r="UFB12" s="513"/>
      <c r="UFC12" s="513"/>
      <c r="UFD12" s="513"/>
      <c r="UFE12" s="513"/>
      <c r="UFF12" s="513"/>
      <c r="UFG12" s="513"/>
      <c r="UFH12" s="513"/>
      <c r="UFI12" s="513"/>
      <c r="UFJ12" s="513"/>
      <c r="UFK12" s="513"/>
      <c r="UFL12" s="513"/>
      <c r="UFM12" s="513"/>
      <c r="UFN12" s="513"/>
      <c r="UFO12" s="513"/>
      <c r="UFP12" s="513"/>
      <c r="UFQ12" s="513"/>
      <c r="UFR12" s="513"/>
      <c r="UFS12" s="513"/>
      <c r="UFT12" s="513"/>
      <c r="UFU12" s="513"/>
      <c r="UFV12" s="513"/>
      <c r="UFW12" s="513"/>
      <c r="UFX12" s="513"/>
      <c r="UFY12" s="513"/>
      <c r="UFZ12" s="513"/>
      <c r="UGA12" s="513"/>
      <c r="UGB12" s="513"/>
      <c r="UGC12" s="513"/>
      <c r="UGD12" s="513"/>
      <c r="UGE12" s="513"/>
      <c r="UGF12" s="513"/>
      <c r="UGG12" s="513"/>
      <c r="UGH12" s="513"/>
      <c r="UGI12" s="513"/>
      <c r="UGJ12" s="513"/>
      <c r="UGK12" s="513"/>
      <c r="UGL12" s="513"/>
      <c r="UGM12" s="513"/>
      <c r="UGN12" s="513"/>
      <c r="UGO12" s="513"/>
      <c r="UGP12" s="513"/>
      <c r="UGQ12" s="513"/>
      <c r="UGR12" s="513"/>
      <c r="UGS12" s="513"/>
      <c r="UGT12" s="513"/>
      <c r="UGU12" s="513"/>
      <c r="UGV12" s="513"/>
      <c r="UGW12" s="513"/>
      <c r="UGX12" s="513"/>
      <c r="UGY12" s="513"/>
      <c r="UGZ12" s="513"/>
      <c r="UHA12" s="513"/>
      <c r="UHB12" s="513"/>
      <c r="UHC12" s="513"/>
      <c r="UHD12" s="513"/>
      <c r="UHE12" s="513"/>
      <c r="UHF12" s="513"/>
      <c r="UHG12" s="513"/>
      <c r="UHH12" s="513"/>
      <c r="UHI12" s="513"/>
      <c r="UHJ12" s="513"/>
      <c r="UHK12" s="513"/>
      <c r="UHL12" s="513"/>
      <c r="UHM12" s="513"/>
      <c r="UHN12" s="513"/>
      <c r="UHO12" s="513"/>
      <c r="UHP12" s="513"/>
      <c r="UHQ12" s="513"/>
      <c r="UHR12" s="513"/>
      <c r="UHS12" s="513"/>
      <c r="UHT12" s="513"/>
      <c r="UHU12" s="513"/>
      <c r="UHV12" s="513"/>
      <c r="UHW12" s="513"/>
      <c r="UHX12" s="513"/>
      <c r="UHY12" s="513"/>
      <c r="UHZ12" s="513"/>
      <c r="UIA12" s="513"/>
      <c r="UIB12" s="513"/>
      <c r="UIC12" s="513"/>
      <c r="UID12" s="513"/>
      <c r="UIE12" s="513"/>
      <c r="UIF12" s="513"/>
      <c r="UIG12" s="513"/>
      <c r="UIH12" s="513"/>
      <c r="UII12" s="513"/>
      <c r="UIJ12" s="513"/>
      <c r="UIK12" s="513"/>
      <c r="UIL12" s="513"/>
      <c r="UIM12" s="513"/>
      <c r="UIN12" s="513"/>
      <c r="UIO12" s="513"/>
      <c r="UIP12" s="513"/>
      <c r="UIQ12" s="513"/>
      <c r="UIR12" s="513"/>
      <c r="UIS12" s="513"/>
      <c r="UIT12" s="513"/>
      <c r="UIU12" s="513"/>
      <c r="UIV12" s="513"/>
      <c r="UIW12" s="513"/>
      <c r="UIX12" s="513"/>
      <c r="UIY12" s="513"/>
      <c r="UIZ12" s="513"/>
      <c r="UJA12" s="513"/>
      <c r="UJB12" s="513"/>
      <c r="UJC12" s="513"/>
      <c r="UJD12" s="513"/>
      <c r="UJE12" s="513"/>
      <c r="UJF12" s="513"/>
      <c r="UJG12" s="513"/>
      <c r="UJH12" s="513"/>
      <c r="UJI12" s="513"/>
      <c r="UJJ12" s="513"/>
      <c r="UJK12" s="513"/>
      <c r="UJL12" s="513"/>
      <c r="UJM12" s="513"/>
      <c r="UJN12" s="513"/>
      <c r="UJO12" s="513"/>
      <c r="UJP12" s="513"/>
      <c r="UJQ12" s="513"/>
      <c r="UJR12" s="513"/>
      <c r="UJS12" s="513"/>
      <c r="UJT12" s="513"/>
      <c r="UJU12" s="513"/>
      <c r="UJV12" s="513"/>
      <c r="UJW12" s="513"/>
      <c r="UJX12" s="513"/>
      <c r="UJY12" s="513"/>
      <c r="UJZ12" s="513"/>
      <c r="UKA12" s="513"/>
      <c r="UKB12" s="513"/>
      <c r="UKC12" s="513"/>
      <c r="UKD12" s="513"/>
      <c r="UKE12" s="513"/>
      <c r="UKF12" s="513"/>
      <c r="UKG12" s="513"/>
      <c r="UKH12" s="513"/>
      <c r="UKI12" s="513"/>
      <c r="UKJ12" s="513"/>
      <c r="UKK12" s="513"/>
      <c r="UKL12" s="513"/>
      <c r="UKM12" s="513"/>
      <c r="UKN12" s="513"/>
      <c r="UKO12" s="513"/>
      <c r="UKP12" s="513"/>
      <c r="UKQ12" s="513"/>
      <c r="UKR12" s="513"/>
      <c r="UKS12" s="513"/>
      <c r="UKT12" s="513"/>
      <c r="UKU12" s="513"/>
      <c r="UKV12" s="513"/>
      <c r="UKW12" s="513"/>
      <c r="UKX12" s="513"/>
      <c r="UKY12" s="513"/>
      <c r="UKZ12" s="513"/>
      <c r="ULA12" s="513"/>
      <c r="ULB12" s="513"/>
      <c r="ULC12" s="513"/>
      <c r="ULD12" s="513"/>
      <c r="ULE12" s="513"/>
      <c r="ULF12" s="513"/>
      <c r="ULG12" s="513"/>
      <c r="ULH12" s="513"/>
      <c r="ULI12" s="513"/>
      <c r="ULJ12" s="513"/>
      <c r="ULK12" s="513"/>
      <c r="ULL12" s="513"/>
      <c r="ULM12" s="513"/>
      <c r="ULN12" s="513"/>
      <c r="ULO12" s="513"/>
      <c r="ULP12" s="513"/>
      <c r="ULQ12" s="513"/>
      <c r="ULR12" s="513"/>
      <c r="ULS12" s="513"/>
      <c r="ULT12" s="513"/>
      <c r="ULU12" s="513"/>
      <c r="ULV12" s="513"/>
      <c r="ULW12" s="513"/>
      <c r="ULX12" s="513"/>
      <c r="ULY12" s="513"/>
      <c r="ULZ12" s="513"/>
      <c r="UMA12" s="513"/>
      <c r="UMB12" s="513"/>
      <c r="UMC12" s="513"/>
      <c r="UMD12" s="513"/>
      <c r="UME12" s="513"/>
      <c r="UMF12" s="513"/>
      <c r="UMG12" s="513"/>
      <c r="UMH12" s="513"/>
      <c r="UMI12" s="513"/>
      <c r="UMJ12" s="513"/>
      <c r="UMK12" s="513"/>
      <c r="UML12" s="513"/>
      <c r="UMM12" s="513"/>
      <c r="UMN12" s="513"/>
      <c r="UMO12" s="513"/>
      <c r="UMP12" s="513"/>
      <c r="UMQ12" s="513"/>
      <c r="UMR12" s="513"/>
      <c r="UMS12" s="513"/>
      <c r="UMT12" s="513"/>
      <c r="UMU12" s="513"/>
      <c r="UMV12" s="513"/>
      <c r="UMW12" s="513"/>
      <c r="UMX12" s="513"/>
      <c r="UMY12" s="513"/>
      <c r="UMZ12" s="513"/>
      <c r="UNA12" s="513"/>
      <c r="UNB12" s="513"/>
      <c r="UNC12" s="513"/>
      <c r="UND12" s="513"/>
      <c r="UNE12" s="513"/>
      <c r="UNF12" s="513"/>
      <c r="UNG12" s="513"/>
      <c r="UNH12" s="513"/>
      <c r="UNI12" s="513"/>
      <c r="UNJ12" s="513"/>
      <c r="UNK12" s="513"/>
      <c r="UNL12" s="513"/>
      <c r="UNM12" s="513"/>
      <c r="UNN12" s="513"/>
      <c r="UNO12" s="513"/>
      <c r="UNP12" s="513"/>
      <c r="UNQ12" s="513"/>
      <c r="UNR12" s="513"/>
      <c r="UNS12" s="513"/>
      <c r="UNT12" s="513"/>
      <c r="UNU12" s="513"/>
      <c r="UNV12" s="513"/>
      <c r="UNW12" s="513"/>
      <c r="UNX12" s="513"/>
      <c r="UNY12" s="513"/>
      <c r="UNZ12" s="513"/>
      <c r="UOA12" s="513"/>
      <c r="UOB12" s="513"/>
      <c r="UOC12" s="513"/>
      <c r="UOD12" s="513"/>
      <c r="UOE12" s="513"/>
      <c r="UOF12" s="513"/>
      <c r="UOG12" s="513"/>
      <c r="UOH12" s="513"/>
      <c r="UOI12" s="513"/>
      <c r="UOJ12" s="513"/>
      <c r="UOK12" s="513"/>
      <c r="UOL12" s="513"/>
      <c r="UOM12" s="513"/>
      <c r="UON12" s="513"/>
      <c r="UOO12" s="513"/>
      <c r="UOP12" s="513"/>
      <c r="UOQ12" s="513"/>
      <c r="UOR12" s="513"/>
      <c r="UOS12" s="513"/>
      <c r="UOT12" s="513"/>
      <c r="UOU12" s="513"/>
      <c r="UOV12" s="513"/>
      <c r="UOW12" s="513"/>
      <c r="UOX12" s="513"/>
      <c r="UOY12" s="513"/>
      <c r="UOZ12" s="513"/>
      <c r="UPA12" s="513"/>
      <c r="UPB12" s="513"/>
      <c r="UPC12" s="513"/>
      <c r="UPD12" s="513"/>
      <c r="UPE12" s="513"/>
      <c r="UPF12" s="513"/>
      <c r="UPG12" s="513"/>
      <c r="UPH12" s="513"/>
      <c r="UPI12" s="513"/>
      <c r="UPJ12" s="513"/>
      <c r="UPK12" s="513"/>
      <c r="UPL12" s="513"/>
      <c r="UPM12" s="513"/>
      <c r="UPN12" s="513"/>
      <c r="UPO12" s="513"/>
      <c r="UPP12" s="513"/>
      <c r="UPQ12" s="513"/>
      <c r="UPR12" s="513"/>
      <c r="UPS12" s="513"/>
      <c r="UPT12" s="513"/>
      <c r="UPU12" s="513"/>
      <c r="UPV12" s="513"/>
      <c r="UPW12" s="513"/>
      <c r="UPX12" s="513"/>
      <c r="UPY12" s="513"/>
      <c r="UPZ12" s="513"/>
      <c r="UQA12" s="513"/>
      <c r="UQB12" s="513"/>
      <c r="UQC12" s="513"/>
      <c r="UQD12" s="513"/>
      <c r="UQE12" s="513"/>
      <c r="UQF12" s="513"/>
      <c r="UQG12" s="513"/>
      <c r="UQH12" s="513"/>
      <c r="UQI12" s="513"/>
      <c r="UQJ12" s="513"/>
      <c r="UQK12" s="513"/>
      <c r="UQL12" s="513"/>
      <c r="UQM12" s="513"/>
      <c r="UQN12" s="513"/>
      <c r="UQO12" s="513"/>
      <c r="UQP12" s="513"/>
      <c r="UQQ12" s="513"/>
      <c r="UQR12" s="513"/>
      <c r="UQS12" s="513"/>
      <c r="UQT12" s="513"/>
      <c r="UQU12" s="513"/>
      <c r="UQV12" s="513"/>
      <c r="UQW12" s="513"/>
      <c r="UQX12" s="513"/>
      <c r="UQY12" s="513"/>
      <c r="UQZ12" s="513"/>
      <c r="URA12" s="513"/>
      <c r="URB12" s="513"/>
      <c r="URC12" s="513"/>
      <c r="URD12" s="513"/>
      <c r="URE12" s="513"/>
      <c r="URF12" s="513"/>
      <c r="URG12" s="513"/>
      <c r="URH12" s="513"/>
      <c r="URI12" s="513"/>
      <c r="URJ12" s="513"/>
      <c r="URK12" s="513"/>
      <c r="URL12" s="513"/>
      <c r="URM12" s="513"/>
      <c r="URN12" s="513"/>
      <c r="URO12" s="513"/>
      <c r="URP12" s="513"/>
      <c r="URQ12" s="513"/>
      <c r="URR12" s="513"/>
      <c r="URS12" s="513"/>
      <c r="URT12" s="513"/>
      <c r="URU12" s="513"/>
      <c r="URV12" s="513"/>
      <c r="URW12" s="513"/>
      <c r="URX12" s="513"/>
      <c r="URY12" s="513"/>
      <c r="URZ12" s="513"/>
      <c r="USA12" s="513"/>
      <c r="USB12" s="513"/>
      <c r="USC12" s="513"/>
      <c r="USD12" s="513"/>
      <c r="USE12" s="513"/>
      <c r="USF12" s="513"/>
      <c r="USG12" s="513"/>
      <c r="USH12" s="513"/>
      <c r="USI12" s="513"/>
      <c r="USJ12" s="513"/>
      <c r="USK12" s="513"/>
      <c r="USL12" s="513"/>
      <c r="USM12" s="513"/>
      <c r="USN12" s="513"/>
      <c r="USO12" s="513"/>
      <c r="USP12" s="513"/>
      <c r="USQ12" s="513"/>
      <c r="USR12" s="513"/>
      <c r="USS12" s="513"/>
      <c r="UST12" s="513"/>
      <c r="USU12" s="513"/>
      <c r="USV12" s="513"/>
      <c r="USW12" s="513"/>
      <c r="USX12" s="513"/>
      <c r="USY12" s="513"/>
      <c r="USZ12" s="513"/>
      <c r="UTA12" s="513"/>
      <c r="UTB12" s="513"/>
      <c r="UTC12" s="513"/>
      <c r="UTD12" s="513"/>
      <c r="UTE12" s="513"/>
      <c r="UTF12" s="513"/>
      <c r="UTG12" s="513"/>
      <c r="UTH12" s="513"/>
      <c r="UTI12" s="513"/>
      <c r="UTJ12" s="513"/>
      <c r="UTK12" s="513"/>
      <c r="UTL12" s="513"/>
      <c r="UTM12" s="513"/>
      <c r="UTN12" s="513"/>
      <c r="UTO12" s="513"/>
      <c r="UTP12" s="513"/>
      <c r="UTQ12" s="513"/>
      <c r="UTR12" s="513"/>
      <c r="UTS12" s="513"/>
      <c r="UTT12" s="513"/>
      <c r="UTU12" s="513"/>
      <c r="UTV12" s="513"/>
      <c r="UTW12" s="513"/>
      <c r="UTX12" s="513"/>
      <c r="UTY12" s="513"/>
      <c r="UTZ12" s="513"/>
      <c r="UUA12" s="513"/>
      <c r="UUB12" s="513"/>
      <c r="UUC12" s="513"/>
      <c r="UUD12" s="513"/>
      <c r="UUE12" s="513"/>
      <c r="UUF12" s="513"/>
      <c r="UUG12" s="513"/>
      <c r="UUH12" s="513"/>
      <c r="UUI12" s="513"/>
      <c r="UUJ12" s="513"/>
      <c r="UUK12" s="513"/>
      <c r="UUL12" s="513"/>
      <c r="UUM12" s="513"/>
      <c r="UUN12" s="513"/>
      <c r="UUO12" s="513"/>
      <c r="UUP12" s="513"/>
      <c r="UUQ12" s="513"/>
      <c r="UUR12" s="513"/>
      <c r="UUS12" s="513"/>
      <c r="UUT12" s="513"/>
      <c r="UUU12" s="513"/>
      <c r="UUV12" s="513"/>
      <c r="UUW12" s="513"/>
      <c r="UUX12" s="513"/>
      <c r="UUY12" s="513"/>
      <c r="UUZ12" s="513"/>
      <c r="UVA12" s="513"/>
      <c r="UVB12" s="513"/>
      <c r="UVC12" s="513"/>
      <c r="UVD12" s="513"/>
      <c r="UVE12" s="513"/>
      <c r="UVF12" s="513"/>
      <c r="UVG12" s="513"/>
      <c r="UVH12" s="513"/>
      <c r="UVI12" s="513"/>
      <c r="UVJ12" s="513"/>
      <c r="UVK12" s="513"/>
      <c r="UVL12" s="513"/>
      <c r="UVM12" s="513"/>
      <c r="UVN12" s="513"/>
      <c r="UVO12" s="513"/>
      <c r="UVP12" s="513"/>
      <c r="UVQ12" s="513"/>
      <c r="UVR12" s="513"/>
      <c r="UVS12" s="513"/>
      <c r="UVT12" s="513"/>
      <c r="UVU12" s="513"/>
      <c r="UVV12" s="513"/>
      <c r="UVW12" s="513"/>
      <c r="UVX12" s="513"/>
      <c r="UVY12" s="513"/>
      <c r="UVZ12" s="513"/>
      <c r="UWA12" s="513"/>
      <c r="UWB12" s="513"/>
      <c r="UWC12" s="513"/>
      <c r="UWD12" s="513"/>
      <c r="UWE12" s="513"/>
      <c r="UWF12" s="513"/>
      <c r="UWG12" s="513"/>
      <c r="UWH12" s="513"/>
      <c r="UWI12" s="513"/>
      <c r="UWJ12" s="513"/>
      <c r="UWK12" s="513"/>
      <c r="UWL12" s="513"/>
      <c r="UWM12" s="513"/>
      <c r="UWN12" s="513"/>
      <c r="UWO12" s="513"/>
      <c r="UWP12" s="513"/>
      <c r="UWQ12" s="513"/>
      <c r="UWR12" s="513"/>
      <c r="UWS12" s="513"/>
      <c r="UWT12" s="513"/>
      <c r="UWU12" s="513"/>
      <c r="UWV12" s="513"/>
      <c r="UWW12" s="513"/>
      <c r="UWX12" s="513"/>
      <c r="UWY12" s="513"/>
      <c r="UWZ12" s="513"/>
      <c r="UXA12" s="513"/>
      <c r="UXB12" s="513"/>
      <c r="UXC12" s="513"/>
      <c r="UXD12" s="513"/>
      <c r="UXE12" s="513"/>
      <c r="UXF12" s="513"/>
      <c r="UXG12" s="513"/>
      <c r="UXH12" s="513"/>
      <c r="UXI12" s="513"/>
      <c r="UXJ12" s="513"/>
      <c r="UXK12" s="513"/>
      <c r="UXL12" s="513"/>
      <c r="UXM12" s="513"/>
      <c r="UXN12" s="513"/>
      <c r="UXO12" s="513"/>
      <c r="UXP12" s="513"/>
      <c r="UXQ12" s="513"/>
      <c r="UXR12" s="513"/>
      <c r="UXS12" s="513"/>
      <c r="UXT12" s="513"/>
      <c r="UXU12" s="513"/>
      <c r="UXV12" s="513"/>
      <c r="UXW12" s="513"/>
      <c r="UXX12" s="513"/>
      <c r="UXY12" s="513"/>
      <c r="UXZ12" s="513"/>
      <c r="UYA12" s="513"/>
      <c r="UYB12" s="513"/>
      <c r="UYC12" s="513"/>
      <c r="UYD12" s="513"/>
      <c r="UYE12" s="513"/>
      <c r="UYF12" s="513"/>
      <c r="UYG12" s="513"/>
      <c r="UYH12" s="513"/>
      <c r="UYI12" s="513"/>
      <c r="UYJ12" s="513"/>
      <c r="UYK12" s="513"/>
      <c r="UYL12" s="513"/>
      <c r="UYM12" s="513"/>
      <c r="UYN12" s="513"/>
      <c r="UYO12" s="513"/>
      <c r="UYP12" s="513"/>
      <c r="UYQ12" s="513"/>
      <c r="UYR12" s="513"/>
      <c r="UYS12" s="513"/>
      <c r="UYT12" s="513"/>
      <c r="UYU12" s="513"/>
      <c r="UYV12" s="513"/>
      <c r="UYW12" s="513"/>
      <c r="UYX12" s="513"/>
      <c r="UYY12" s="513"/>
      <c r="UYZ12" s="513"/>
      <c r="UZA12" s="513"/>
      <c r="UZB12" s="513"/>
      <c r="UZC12" s="513"/>
      <c r="UZD12" s="513"/>
      <c r="UZE12" s="513"/>
      <c r="UZF12" s="513"/>
      <c r="UZG12" s="513"/>
      <c r="UZH12" s="513"/>
      <c r="UZI12" s="513"/>
      <c r="UZJ12" s="513"/>
      <c r="UZK12" s="513"/>
      <c r="UZL12" s="513"/>
      <c r="UZM12" s="513"/>
      <c r="UZN12" s="513"/>
      <c r="UZO12" s="513"/>
      <c r="UZP12" s="513"/>
      <c r="UZQ12" s="513"/>
      <c r="UZR12" s="513"/>
      <c r="UZS12" s="513"/>
      <c r="UZT12" s="513"/>
      <c r="UZU12" s="513"/>
      <c r="UZV12" s="513"/>
      <c r="UZW12" s="513"/>
      <c r="UZX12" s="513"/>
      <c r="UZY12" s="513"/>
      <c r="UZZ12" s="513"/>
      <c r="VAA12" s="513"/>
      <c r="VAB12" s="513"/>
      <c r="VAC12" s="513"/>
      <c r="VAD12" s="513"/>
      <c r="VAE12" s="513"/>
      <c r="VAF12" s="513"/>
      <c r="VAG12" s="513"/>
      <c r="VAH12" s="513"/>
      <c r="VAI12" s="513"/>
      <c r="VAJ12" s="513"/>
      <c r="VAK12" s="513"/>
      <c r="VAL12" s="513"/>
      <c r="VAM12" s="513"/>
      <c r="VAN12" s="513"/>
      <c r="VAO12" s="513"/>
      <c r="VAP12" s="513"/>
      <c r="VAQ12" s="513"/>
      <c r="VAR12" s="513"/>
      <c r="VAS12" s="513"/>
      <c r="VAT12" s="513"/>
      <c r="VAU12" s="513"/>
      <c r="VAV12" s="513"/>
      <c r="VAW12" s="513"/>
      <c r="VAX12" s="513"/>
      <c r="VAY12" s="513"/>
      <c r="VAZ12" s="513"/>
      <c r="VBA12" s="513"/>
      <c r="VBB12" s="513"/>
      <c r="VBC12" s="513"/>
      <c r="VBD12" s="513"/>
      <c r="VBE12" s="513"/>
      <c r="VBF12" s="513"/>
      <c r="VBG12" s="513"/>
      <c r="VBH12" s="513"/>
      <c r="VBI12" s="513"/>
      <c r="VBJ12" s="513"/>
      <c r="VBK12" s="513"/>
      <c r="VBL12" s="513"/>
      <c r="VBM12" s="513"/>
      <c r="VBN12" s="513"/>
      <c r="VBO12" s="513"/>
      <c r="VBP12" s="513"/>
      <c r="VBQ12" s="513"/>
      <c r="VBR12" s="513"/>
      <c r="VBS12" s="513"/>
      <c r="VBT12" s="513"/>
      <c r="VBU12" s="513"/>
      <c r="VBV12" s="513"/>
      <c r="VBW12" s="513"/>
      <c r="VBX12" s="513"/>
      <c r="VBY12" s="513"/>
      <c r="VBZ12" s="513"/>
      <c r="VCA12" s="513"/>
      <c r="VCB12" s="513"/>
      <c r="VCC12" s="513"/>
      <c r="VCD12" s="513"/>
      <c r="VCE12" s="513"/>
      <c r="VCF12" s="513"/>
      <c r="VCG12" s="513"/>
      <c r="VCH12" s="513"/>
      <c r="VCI12" s="513"/>
      <c r="VCJ12" s="513"/>
      <c r="VCK12" s="513"/>
      <c r="VCL12" s="513"/>
      <c r="VCM12" s="513"/>
      <c r="VCN12" s="513"/>
      <c r="VCO12" s="513"/>
      <c r="VCP12" s="513"/>
      <c r="VCQ12" s="513"/>
      <c r="VCR12" s="513"/>
      <c r="VCS12" s="513"/>
      <c r="VCT12" s="513"/>
      <c r="VCU12" s="513"/>
      <c r="VCV12" s="513"/>
      <c r="VCW12" s="513"/>
      <c r="VCX12" s="513"/>
      <c r="VCY12" s="513"/>
      <c r="VCZ12" s="513"/>
      <c r="VDA12" s="513"/>
      <c r="VDB12" s="513"/>
      <c r="VDC12" s="513"/>
      <c r="VDD12" s="513"/>
      <c r="VDE12" s="513"/>
      <c r="VDF12" s="513"/>
      <c r="VDG12" s="513"/>
      <c r="VDH12" s="513"/>
      <c r="VDI12" s="513"/>
      <c r="VDJ12" s="513"/>
      <c r="VDK12" s="513"/>
      <c r="VDL12" s="513"/>
      <c r="VDM12" s="513"/>
      <c r="VDN12" s="513"/>
      <c r="VDO12" s="513"/>
      <c r="VDP12" s="513"/>
      <c r="VDQ12" s="513"/>
      <c r="VDR12" s="513"/>
      <c r="VDS12" s="513"/>
      <c r="VDT12" s="513"/>
      <c r="VDU12" s="513"/>
      <c r="VDV12" s="513"/>
      <c r="VDW12" s="513"/>
      <c r="VDX12" s="513"/>
      <c r="VDY12" s="513"/>
      <c r="VDZ12" s="513"/>
      <c r="VEA12" s="513"/>
      <c r="VEB12" s="513"/>
      <c r="VEC12" s="513"/>
      <c r="VED12" s="513"/>
      <c r="VEE12" s="513"/>
      <c r="VEF12" s="513"/>
      <c r="VEG12" s="513"/>
      <c r="VEH12" s="513"/>
      <c r="VEI12" s="513"/>
      <c r="VEJ12" s="513"/>
      <c r="VEK12" s="513"/>
      <c r="VEL12" s="513"/>
      <c r="VEM12" s="513"/>
      <c r="VEN12" s="513"/>
      <c r="VEO12" s="513"/>
      <c r="VEP12" s="513"/>
      <c r="VEQ12" s="513"/>
      <c r="VER12" s="513"/>
      <c r="VES12" s="513"/>
      <c r="VET12" s="513"/>
      <c r="VEU12" s="513"/>
      <c r="VEV12" s="513"/>
      <c r="VEW12" s="513"/>
      <c r="VEX12" s="513"/>
      <c r="VEY12" s="513"/>
      <c r="VEZ12" s="513"/>
      <c r="VFA12" s="513"/>
      <c r="VFB12" s="513"/>
      <c r="VFC12" s="513"/>
      <c r="VFD12" s="513"/>
      <c r="VFE12" s="513"/>
      <c r="VFF12" s="513"/>
      <c r="VFG12" s="513"/>
      <c r="VFH12" s="513"/>
      <c r="VFI12" s="513"/>
      <c r="VFJ12" s="513"/>
      <c r="VFK12" s="513"/>
      <c r="VFL12" s="513"/>
      <c r="VFM12" s="513"/>
      <c r="VFN12" s="513"/>
      <c r="VFO12" s="513"/>
      <c r="VFP12" s="513"/>
      <c r="VFQ12" s="513"/>
      <c r="VFR12" s="513"/>
      <c r="VFS12" s="513"/>
      <c r="VFT12" s="513"/>
      <c r="VFU12" s="513"/>
      <c r="VFV12" s="513"/>
      <c r="VFW12" s="513"/>
      <c r="VFX12" s="513"/>
      <c r="VFY12" s="513"/>
      <c r="VFZ12" s="513"/>
      <c r="VGA12" s="513"/>
      <c r="VGB12" s="513"/>
      <c r="VGC12" s="513"/>
      <c r="VGD12" s="513"/>
      <c r="VGE12" s="513"/>
      <c r="VGF12" s="513"/>
      <c r="VGG12" s="513"/>
      <c r="VGH12" s="513"/>
      <c r="VGI12" s="513"/>
      <c r="VGJ12" s="513"/>
      <c r="VGK12" s="513"/>
      <c r="VGL12" s="513"/>
      <c r="VGM12" s="513"/>
      <c r="VGN12" s="513"/>
      <c r="VGO12" s="513"/>
      <c r="VGP12" s="513"/>
      <c r="VGQ12" s="513"/>
      <c r="VGR12" s="513"/>
      <c r="VGS12" s="513"/>
      <c r="VGT12" s="513"/>
      <c r="VGU12" s="513"/>
      <c r="VGV12" s="513"/>
      <c r="VGW12" s="513"/>
      <c r="VGX12" s="513"/>
      <c r="VGY12" s="513"/>
      <c r="VGZ12" s="513"/>
      <c r="VHA12" s="513"/>
      <c r="VHB12" s="513"/>
      <c r="VHC12" s="513"/>
      <c r="VHD12" s="513"/>
      <c r="VHE12" s="513"/>
      <c r="VHF12" s="513"/>
      <c r="VHG12" s="513"/>
      <c r="VHH12" s="513"/>
      <c r="VHI12" s="513"/>
      <c r="VHJ12" s="513"/>
      <c r="VHK12" s="513"/>
      <c r="VHL12" s="513"/>
      <c r="VHM12" s="513"/>
      <c r="VHN12" s="513"/>
      <c r="VHO12" s="513"/>
      <c r="VHP12" s="513"/>
      <c r="VHQ12" s="513"/>
      <c r="VHR12" s="513"/>
      <c r="VHS12" s="513"/>
      <c r="VHT12" s="513"/>
      <c r="VHU12" s="513"/>
      <c r="VHV12" s="513"/>
      <c r="VHW12" s="513"/>
      <c r="VHX12" s="513"/>
      <c r="VHY12" s="513"/>
      <c r="VHZ12" s="513"/>
      <c r="VIA12" s="513"/>
      <c r="VIB12" s="513"/>
      <c r="VIC12" s="513"/>
      <c r="VID12" s="513"/>
      <c r="VIE12" s="513"/>
      <c r="VIF12" s="513"/>
      <c r="VIG12" s="513"/>
      <c r="VIH12" s="513"/>
      <c r="VII12" s="513"/>
      <c r="VIJ12" s="513"/>
      <c r="VIK12" s="513"/>
      <c r="VIL12" s="513"/>
      <c r="VIM12" s="513"/>
      <c r="VIN12" s="513"/>
      <c r="VIO12" s="513"/>
      <c r="VIP12" s="513"/>
      <c r="VIQ12" s="513"/>
      <c r="VIR12" s="513"/>
      <c r="VIS12" s="513"/>
      <c r="VIT12" s="513"/>
      <c r="VIU12" s="513"/>
      <c r="VIV12" s="513"/>
      <c r="VIW12" s="513"/>
      <c r="VIX12" s="513"/>
      <c r="VIY12" s="513"/>
      <c r="VIZ12" s="513"/>
      <c r="VJA12" s="513"/>
      <c r="VJB12" s="513"/>
      <c r="VJC12" s="513"/>
      <c r="VJD12" s="513"/>
      <c r="VJE12" s="513"/>
      <c r="VJF12" s="513"/>
      <c r="VJG12" s="513"/>
      <c r="VJH12" s="513"/>
      <c r="VJI12" s="513"/>
      <c r="VJJ12" s="513"/>
      <c r="VJK12" s="513"/>
      <c r="VJL12" s="513"/>
      <c r="VJM12" s="513"/>
      <c r="VJN12" s="513"/>
      <c r="VJO12" s="513"/>
      <c r="VJP12" s="513"/>
      <c r="VJQ12" s="513"/>
      <c r="VJR12" s="513"/>
      <c r="VJS12" s="513"/>
      <c r="VJT12" s="513"/>
      <c r="VJU12" s="513"/>
      <c r="VJV12" s="513"/>
      <c r="VJW12" s="513"/>
      <c r="VJX12" s="513"/>
      <c r="VJY12" s="513"/>
      <c r="VJZ12" s="513"/>
      <c r="VKA12" s="513"/>
      <c r="VKB12" s="513"/>
      <c r="VKC12" s="513"/>
      <c r="VKD12" s="513"/>
      <c r="VKE12" s="513"/>
      <c r="VKF12" s="513"/>
      <c r="VKG12" s="513"/>
      <c r="VKH12" s="513"/>
      <c r="VKI12" s="513"/>
      <c r="VKJ12" s="513"/>
      <c r="VKK12" s="513"/>
      <c r="VKL12" s="513"/>
      <c r="VKM12" s="513"/>
      <c r="VKN12" s="513"/>
      <c r="VKO12" s="513"/>
      <c r="VKP12" s="513"/>
      <c r="VKQ12" s="513"/>
      <c r="VKR12" s="513"/>
      <c r="VKS12" s="513"/>
      <c r="VKT12" s="513"/>
      <c r="VKU12" s="513"/>
      <c r="VKV12" s="513"/>
      <c r="VKW12" s="513"/>
      <c r="VKX12" s="513"/>
      <c r="VKY12" s="513"/>
      <c r="VKZ12" s="513"/>
      <c r="VLA12" s="513"/>
      <c r="VLB12" s="513"/>
      <c r="VLC12" s="513"/>
      <c r="VLD12" s="513"/>
      <c r="VLE12" s="513"/>
      <c r="VLF12" s="513"/>
      <c r="VLG12" s="513"/>
      <c r="VLH12" s="513"/>
      <c r="VLI12" s="513"/>
      <c r="VLJ12" s="513"/>
      <c r="VLK12" s="513"/>
      <c r="VLL12" s="513"/>
      <c r="VLM12" s="513"/>
      <c r="VLN12" s="513"/>
      <c r="VLO12" s="513"/>
      <c r="VLP12" s="513"/>
      <c r="VLQ12" s="513"/>
      <c r="VLR12" s="513"/>
      <c r="VLS12" s="513"/>
      <c r="VLT12" s="513"/>
      <c r="VLU12" s="513"/>
      <c r="VLV12" s="513"/>
      <c r="VLW12" s="513"/>
      <c r="VLX12" s="513"/>
      <c r="VLY12" s="513"/>
      <c r="VLZ12" s="513"/>
      <c r="VMA12" s="513"/>
      <c r="VMB12" s="513"/>
      <c r="VMC12" s="513"/>
      <c r="VMD12" s="513"/>
      <c r="VME12" s="513"/>
      <c r="VMF12" s="513"/>
      <c r="VMG12" s="513"/>
      <c r="VMH12" s="513"/>
      <c r="VMI12" s="513"/>
      <c r="VMJ12" s="513"/>
      <c r="VMK12" s="513"/>
      <c r="VML12" s="513"/>
      <c r="VMM12" s="513"/>
      <c r="VMN12" s="513"/>
      <c r="VMO12" s="513"/>
      <c r="VMP12" s="513"/>
      <c r="VMQ12" s="513"/>
      <c r="VMR12" s="513"/>
      <c r="VMS12" s="513"/>
      <c r="VMT12" s="513"/>
      <c r="VMU12" s="513"/>
      <c r="VMV12" s="513"/>
      <c r="VMW12" s="513"/>
      <c r="VMX12" s="513"/>
      <c r="VMY12" s="513"/>
      <c r="VMZ12" s="513"/>
      <c r="VNA12" s="513"/>
      <c r="VNB12" s="513"/>
      <c r="VNC12" s="513"/>
      <c r="VND12" s="513"/>
      <c r="VNE12" s="513"/>
      <c r="VNF12" s="513"/>
      <c r="VNG12" s="513"/>
      <c r="VNH12" s="513"/>
      <c r="VNI12" s="513"/>
      <c r="VNJ12" s="513"/>
      <c r="VNK12" s="513"/>
      <c r="VNL12" s="513"/>
      <c r="VNM12" s="513"/>
      <c r="VNN12" s="513"/>
      <c r="VNO12" s="513"/>
      <c r="VNP12" s="513"/>
      <c r="VNQ12" s="513"/>
      <c r="VNR12" s="513"/>
      <c r="VNS12" s="513"/>
      <c r="VNT12" s="513"/>
      <c r="VNU12" s="513"/>
      <c r="VNV12" s="513"/>
      <c r="VNW12" s="513"/>
      <c r="VNX12" s="513"/>
      <c r="VNY12" s="513"/>
      <c r="VNZ12" s="513"/>
      <c r="VOA12" s="513"/>
      <c r="VOB12" s="513"/>
      <c r="VOC12" s="513"/>
      <c r="VOD12" s="513"/>
      <c r="VOE12" s="513"/>
      <c r="VOF12" s="513"/>
      <c r="VOG12" s="513"/>
      <c r="VOH12" s="513"/>
      <c r="VOI12" s="513"/>
      <c r="VOJ12" s="513"/>
      <c r="VOK12" s="513"/>
      <c r="VOL12" s="513"/>
      <c r="VOM12" s="513"/>
      <c r="VON12" s="513"/>
      <c r="VOO12" s="513"/>
      <c r="VOP12" s="513"/>
      <c r="VOQ12" s="513"/>
      <c r="VOR12" s="513"/>
      <c r="VOS12" s="513"/>
      <c r="VOT12" s="513"/>
      <c r="VOU12" s="513"/>
      <c r="VOV12" s="513"/>
      <c r="VOW12" s="513"/>
      <c r="VOX12" s="513"/>
      <c r="VOY12" s="513"/>
      <c r="VOZ12" s="513"/>
      <c r="VPA12" s="513"/>
      <c r="VPB12" s="513"/>
      <c r="VPC12" s="513"/>
      <c r="VPD12" s="513"/>
      <c r="VPE12" s="513"/>
      <c r="VPF12" s="513"/>
      <c r="VPG12" s="513"/>
      <c r="VPH12" s="513"/>
      <c r="VPI12" s="513"/>
      <c r="VPJ12" s="513"/>
      <c r="VPK12" s="513"/>
      <c r="VPL12" s="513"/>
      <c r="VPM12" s="513"/>
      <c r="VPN12" s="513"/>
      <c r="VPO12" s="513"/>
      <c r="VPP12" s="513"/>
      <c r="VPQ12" s="513"/>
      <c r="VPR12" s="513"/>
      <c r="VPS12" s="513"/>
      <c r="VPT12" s="513"/>
      <c r="VPU12" s="513"/>
      <c r="VPV12" s="513"/>
      <c r="VPW12" s="513"/>
      <c r="VPX12" s="513"/>
      <c r="VPY12" s="513"/>
      <c r="VPZ12" s="513"/>
      <c r="VQA12" s="513"/>
      <c r="VQB12" s="513"/>
      <c r="VQC12" s="513"/>
      <c r="VQD12" s="513"/>
      <c r="VQE12" s="513"/>
      <c r="VQF12" s="513"/>
      <c r="VQG12" s="513"/>
      <c r="VQH12" s="513"/>
      <c r="VQI12" s="513"/>
      <c r="VQJ12" s="513"/>
      <c r="VQK12" s="513"/>
      <c r="VQL12" s="513"/>
      <c r="VQM12" s="513"/>
      <c r="VQN12" s="513"/>
      <c r="VQO12" s="513"/>
      <c r="VQP12" s="513"/>
      <c r="VQQ12" s="513"/>
      <c r="VQR12" s="513"/>
      <c r="VQS12" s="513"/>
      <c r="VQT12" s="513"/>
      <c r="VQU12" s="513"/>
      <c r="VQV12" s="513"/>
      <c r="VQW12" s="513"/>
      <c r="VQX12" s="513"/>
      <c r="VQY12" s="513"/>
      <c r="VQZ12" s="513"/>
      <c r="VRA12" s="513"/>
      <c r="VRB12" s="513"/>
      <c r="VRC12" s="513"/>
      <c r="VRD12" s="513"/>
      <c r="VRE12" s="513"/>
      <c r="VRF12" s="513"/>
      <c r="VRG12" s="513"/>
      <c r="VRH12" s="513"/>
      <c r="VRI12" s="513"/>
      <c r="VRJ12" s="513"/>
      <c r="VRK12" s="513"/>
      <c r="VRL12" s="513"/>
      <c r="VRM12" s="513"/>
      <c r="VRN12" s="513"/>
      <c r="VRO12" s="513"/>
      <c r="VRP12" s="513"/>
      <c r="VRQ12" s="513"/>
      <c r="VRR12" s="513"/>
      <c r="VRS12" s="513"/>
      <c r="VRT12" s="513"/>
      <c r="VRU12" s="513"/>
      <c r="VRV12" s="513"/>
      <c r="VRW12" s="513"/>
      <c r="VRX12" s="513"/>
      <c r="VRY12" s="513"/>
      <c r="VRZ12" s="513"/>
      <c r="VSA12" s="513"/>
      <c r="VSB12" s="513"/>
      <c r="VSC12" s="513"/>
      <c r="VSD12" s="513"/>
      <c r="VSE12" s="513"/>
      <c r="VSF12" s="513"/>
      <c r="VSG12" s="513"/>
      <c r="VSH12" s="513"/>
      <c r="VSI12" s="513"/>
      <c r="VSJ12" s="513"/>
      <c r="VSK12" s="513"/>
      <c r="VSL12" s="513"/>
      <c r="VSM12" s="513"/>
      <c r="VSN12" s="513"/>
      <c r="VSO12" s="513"/>
      <c r="VSP12" s="513"/>
      <c r="VSQ12" s="513"/>
      <c r="VSR12" s="513"/>
      <c r="VSS12" s="513"/>
      <c r="VST12" s="513"/>
      <c r="VSU12" s="513"/>
      <c r="VSV12" s="513"/>
      <c r="VSW12" s="513"/>
      <c r="VSX12" s="513"/>
      <c r="VSY12" s="513"/>
      <c r="VSZ12" s="513"/>
      <c r="VTA12" s="513"/>
      <c r="VTB12" s="513"/>
      <c r="VTC12" s="513"/>
      <c r="VTD12" s="513"/>
      <c r="VTE12" s="513"/>
      <c r="VTF12" s="513"/>
      <c r="VTG12" s="513"/>
      <c r="VTH12" s="513"/>
      <c r="VTI12" s="513"/>
      <c r="VTJ12" s="513"/>
      <c r="VTK12" s="513"/>
      <c r="VTL12" s="513"/>
      <c r="VTM12" s="513"/>
      <c r="VTN12" s="513"/>
      <c r="VTO12" s="513"/>
      <c r="VTP12" s="513"/>
      <c r="VTQ12" s="513"/>
      <c r="VTR12" s="513"/>
      <c r="VTS12" s="513"/>
      <c r="VTT12" s="513"/>
      <c r="VTU12" s="513"/>
      <c r="VTV12" s="513"/>
      <c r="VTW12" s="513"/>
      <c r="VTX12" s="513"/>
      <c r="VTY12" s="513"/>
      <c r="VTZ12" s="513"/>
      <c r="VUA12" s="513"/>
      <c r="VUB12" s="513"/>
      <c r="VUC12" s="513"/>
      <c r="VUD12" s="513"/>
      <c r="VUE12" s="513"/>
      <c r="VUF12" s="513"/>
      <c r="VUG12" s="513"/>
      <c r="VUH12" s="513"/>
      <c r="VUI12" s="513"/>
      <c r="VUJ12" s="513"/>
      <c r="VUK12" s="513"/>
      <c r="VUL12" s="513"/>
      <c r="VUM12" s="513"/>
      <c r="VUN12" s="513"/>
      <c r="VUO12" s="513"/>
      <c r="VUP12" s="513"/>
      <c r="VUQ12" s="513"/>
      <c r="VUR12" s="513"/>
      <c r="VUS12" s="513"/>
      <c r="VUT12" s="513"/>
      <c r="VUU12" s="513"/>
      <c r="VUV12" s="513"/>
      <c r="VUW12" s="513"/>
      <c r="VUX12" s="513"/>
      <c r="VUY12" s="513"/>
      <c r="VUZ12" s="513"/>
      <c r="VVA12" s="513"/>
      <c r="VVB12" s="513"/>
      <c r="VVC12" s="513"/>
      <c r="VVD12" s="513"/>
      <c r="VVE12" s="513"/>
      <c r="VVF12" s="513"/>
      <c r="VVG12" s="513"/>
      <c r="VVH12" s="513"/>
      <c r="VVI12" s="513"/>
      <c r="VVJ12" s="513"/>
      <c r="VVK12" s="513"/>
      <c r="VVL12" s="513"/>
      <c r="VVM12" s="513"/>
      <c r="VVN12" s="513"/>
      <c r="VVO12" s="513"/>
      <c r="VVP12" s="513"/>
      <c r="VVQ12" s="513"/>
      <c r="VVR12" s="513"/>
      <c r="VVS12" s="513"/>
      <c r="VVT12" s="513"/>
      <c r="VVU12" s="513"/>
      <c r="VVV12" s="513"/>
      <c r="VVW12" s="513"/>
      <c r="VVX12" s="513"/>
      <c r="VVY12" s="513"/>
      <c r="VVZ12" s="513"/>
      <c r="VWA12" s="513"/>
      <c r="VWB12" s="513"/>
      <c r="VWC12" s="513"/>
      <c r="VWD12" s="513"/>
      <c r="VWE12" s="513"/>
      <c r="VWF12" s="513"/>
      <c r="VWG12" s="513"/>
      <c r="VWH12" s="513"/>
      <c r="VWI12" s="513"/>
      <c r="VWJ12" s="513"/>
      <c r="VWK12" s="513"/>
      <c r="VWL12" s="513"/>
      <c r="VWM12" s="513"/>
      <c r="VWN12" s="513"/>
      <c r="VWO12" s="513"/>
      <c r="VWP12" s="513"/>
      <c r="VWQ12" s="513"/>
      <c r="VWR12" s="513"/>
      <c r="VWS12" s="513"/>
      <c r="VWT12" s="513"/>
      <c r="VWU12" s="513"/>
      <c r="VWV12" s="513"/>
      <c r="VWW12" s="513"/>
      <c r="VWX12" s="513"/>
      <c r="VWY12" s="513"/>
      <c r="VWZ12" s="513"/>
      <c r="VXA12" s="513"/>
      <c r="VXB12" s="513"/>
      <c r="VXC12" s="513"/>
      <c r="VXD12" s="513"/>
      <c r="VXE12" s="513"/>
      <c r="VXF12" s="513"/>
      <c r="VXG12" s="513"/>
      <c r="VXH12" s="513"/>
      <c r="VXI12" s="513"/>
      <c r="VXJ12" s="513"/>
      <c r="VXK12" s="513"/>
      <c r="VXL12" s="513"/>
      <c r="VXM12" s="513"/>
      <c r="VXN12" s="513"/>
      <c r="VXO12" s="513"/>
      <c r="VXP12" s="513"/>
      <c r="VXQ12" s="513"/>
      <c r="VXR12" s="513"/>
      <c r="VXS12" s="513"/>
      <c r="VXT12" s="513"/>
      <c r="VXU12" s="513"/>
      <c r="VXV12" s="513"/>
      <c r="VXW12" s="513"/>
      <c r="VXX12" s="513"/>
      <c r="VXY12" s="513"/>
      <c r="VXZ12" s="513"/>
      <c r="VYA12" s="513"/>
      <c r="VYB12" s="513"/>
      <c r="VYC12" s="513"/>
      <c r="VYD12" s="513"/>
      <c r="VYE12" s="513"/>
      <c r="VYF12" s="513"/>
      <c r="VYG12" s="513"/>
      <c r="VYH12" s="513"/>
      <c r="VYI12" s="513"/>
      <c r="VYJ12" s="513"/>
      <c r="VYK12" s="513"/>
      <c r="VYL12" s="513"/>
      <c r="VYM12" s="513"/>
      <c r="VYN12" s="513"/>
      <c r="VYO12" s="513"/>
      <c r="VYP12" s="513"/>
      <c r="VYQ12" s="513"/>
      <c r="VYR12" s="513"/>
      <c r="VYS12" s="513"/>
      <c r="VYT12" s="513"/>
      <c r="VYU12" s="513"/>
      <c r="VYV12" s="513"/>
      <c r="VYW12" s="513"/>
      <c r="VYX12" s="513"/>
      <c r="VYY12" s="513"/>
      <c r="VYZ12" s="513"/>
      <c r="VZA12" s="513"/>
      <c r="VZB12" s="513"/>
      <c r="VZC12" s="513"/>
      <c r="VZD12" s="513"/>
      <c r="VZE12" s="513"/>
      <c r="VZF12" s="513"/>
      <c r="VZG12" s="513"/>
      <c r="VZH12" s="513"/>
      <c r="VZI12" s="513"/>
      <c r="VZJ12" s="513"/>
      <c r="VZK12" s="513"/>
      <c r="VZL12" s="513"/>
      <c r="VZM12" s="513"/>
      <c r="VZN12" s="513"/>
      <c r="VZO12" s="513"/>
      <c r="VZP12" s="513"/>
      <c r="VZQ12" s="513"/>
      <c r="VZR12" s="513"/>
      <c r="VZS12" s="513"/>
      <c r="VZT12" s="513"/>
      <c r="VZU12" s="513"/>
      <c r="VZV12" s="513"/>
      <c r="VZW12" s="513"/>
      <c r="VZX12" s="513"/>
      <c r="VZY12" s="513"/>
      <c r="VZZ12" s="513"/>
      <c r="WAA12" s="513"/>
      <c r="WAB12" s="513"/>
      <c r="WAC12" s="513"/>
      <c r="WAD12" s="513"/>
      <c r="WAE12" s="513"/>
      <c r="WAF12" s="513"/>
      <c r="WAG12" s="513"/>
      <c r="WAH12" s="513"/>
      <c r="WAI12" s="513"/>
      <c r="WAJ12" s="513"/>
      <c r="WAK12" s="513"/>
      <c r="WAL12" s="513"/>
      <c r="WAM12" s="513"/>
      <c r="WAN12" s="513"/>
      <c r="WAO12" s="513"/>
      <c r="WAP12" s="513"/>
      <c r="WAQ12" s="513"/>
      <c r="WAR12" s="513"/>
      <c r="WAS12" s="513"/>
      <c r="WAT12" s="513"/>
      <c r="WAU12" s="513"/>
      <c r="WAV12" s="513"/>
      <c r="WAW12" s="513"/>
      <c r="WAX12" s="513"/>
      <c r="WAY12" s="513"/>
      <c r="WAZ12" s="513"/>
      <c r="WBA12" s="513"/>
      <c r="WBB12" s="513"/>
      <c r="WBC12" s="513"/>
      <c r="WBD12" s="513"/>
      <c r="WBE12" s="513"/>
      <c r="WBF12" s="513"/>
      <c r="WBG12" s="513"/>
      <c r="WBH12" s="513"/>
      <c r="WBI12" s="513"/>
      <c r="WBJ12" s="513"/>
      <c r="WBK12" s="513"/>
      <c r="WBL12" s="513"/>
      <c r="WBM12" s="513"/>
      <c r="WBN12" s="513"/>
      <c r="WBO12" s="513"/>
      <c r="WBP12" s="513"/>
      <c r="WBQ12" s="513"/>
      <c r="WBR12" s="513"/>
      <c r="WBS12" s="513"/>
      <c r="WBT12" s="513"/>
      <c r="WBU12" s="513"/>
      <c r="WBV12" s="513"/>
      <c r="WBW12" s="513"/>
      <c r="WBX12" s="513"/>
      <c r="WBY12" s="513"/>
      <c r="WBZ12" s="513"/>
      <c r="WCA12" s="513"/>
      <c r="WCB12" s="513"/>
      <c r="WCC12" s="513"/>
      <c r="WCD12" s="513"/>
      <c r="WCE12" s="513"/>
      <c r="WCF12" s="513"/>
      <c r="WCG12" s="513"/>
      <c r="WCH12" s="513"/>
      <c r="WCI12" s="513"/>
      <c r="WCJ12" s="513"/>
      <c r="WCK12" s="513"/>
      <c r="WCL12" s="513"/>
      <c r="WCM12" s="513"/>
      <c r="WCN12" s="513"/>
      <c r="WCO12" s="513"/>
      <c r="WCP12" s="513"/>
      <c r="WCQ12" s="513"/>
      <c r="WCR12" s="513"/>
      <c r="WCS12" s="513"/>
      <c r="WCT12" s="513"/>
      <c r="WCU12" s="513"/>
      <c r="WCV12" s="513"/>
      <c r="WCW12" s="513"/>
      <c r="WCX12" s="513"/>
      <c r="WCY12" s="513"/>
      <c r="WCZ12" s="513"/>
      <c r="WDA12" s="513"/>
      <c r="WDB12" s="513"/>
      <c r="WDC12" s="513"/>
      <c r="WDD12" s="513"/>
      <c r="WDE12" s="513"/>
      <c r="WDF12" s="513"/>
      <c r="WDG12" s="513"/>
      <c r="WDH12" s="513"/>
      <c r="WDI12" s="513"/>
      <c r="WDJ12" s="513"/>
      <c r="WDK12" s="513"/>
      <c r="WDL12" s="513"/>
      <c r="WDM12" s="513"/>
      <c r="WDN12" s="513"/>
      <c r="WDO12" s="513"/>
      <c r="WDP12" s="513"/>
      <c r="WDQ12" s="513"/>
      <c r="WDR12" s="513"/>
      <c r="WDS12" s="513"/>
      <c r="WDT12" s="513"/>
      <c r="WDU12" s="513"/>
      <c r="WDV12" s="513"/>
      <c r="WDW12" s="513"/>
      <c r="WDX12" s="513"/>
      <c r="WDY12" s="513"/>
      <c r="WDZ12" s="513"/>
      <c r="WEA12" s="513"/>
      <c r="WEB12" s="513"/>
      <c r="WEC12" s="513"/>
      <c r="WED12" s="513"/>
      <c r="WEE12" s="513"/>
      <c r="WEF12" s="513"/>
      <c r="WEG12" s="513"/>
      <c r="WEH12" s="513"/>
      <c r="WEI12" s="513"/>
      <c r="WEJ12" s="513"/>
      <c r="WEK12" s="513"/>
      <c r="WEL12" s="513"/>
      <c r="WEM12" s="513"/>
      <c r="WEN12" s="513"/>
      <c r="WEO12" s="513"/>
      <c r="WEP12" s="513"/>
      <c r="WEQ12" s="513"/>
      <c r="WER12" s="513"/>
      <c r="WES12" s="513"/>
      <c r="WET12" s="513"/>
      <c r="WEU12" s="513"/>
      <c r="WEV12" s="513"/>
      <c r="WEW12" s="513"/>
      <c r="WEX12" s="513"/>
      <c r="WEY12" s="513"/>
      <c r="WEZ12" s="513"/>
      <c r="WFA12" s="513"/>
      <c r="WFB12" s="513"/>
      <c r="WFC12" s="513"/>
      <c r="WFD12" s="513"/>
      <c r="WFE12" s="513"/>
      <c r="WFF12" s="513"/>
      <c r="WFG12" s="513"/>
      <c r="WFH12" s="513"/>
      <c r="WFI12" s="513"/>
      <c r="WFJ12" s="513"/>
      <c r="WFK12" s="513"/>
      <c r="WFL12" s="513"/>
      <c r="WFM12" s="513"/>
      <c r="WFN12" s="513"/>
      <c r="WFO12" s="513"/>
      <c r="WFP12" s="513"/>
      <c r="WFQ12" s="513"/>
      <c r="WFR12" s="513"/>
      <c r="WFS12" s="513"/>
      <c r="WFT12" s="513"/>
      <c r="WFU12" s="513"/>
      <c r="WFV12" s="513"/>
      <c r="WFW12" s="513"/>
      <c r="WFX12" s="513"/>
      <c r="WFY12" s="513"/>
      <c r="WFZ12" s="513"/>
      <c r="WGA12" s="513"/>
      <c r="WGB12" s="513"/>
      <c r="WGC12" s="513"/>
      <c r="WGD12" s="513"/>
      <c r="WGE12" s="513"/>
      <c r="WGF12" s="513"/>
      <c r="WGG12" s="513"/>
      <c r="WGH12" s="513"/>
      <c r="WGI12" s="513"/>
      <c r="WGJ12" s="513"/>
      <c r="WGK12" s="513"/>
      <c r="WGL12" s="513"/>
      <c r="WGM12" s="513"/>
      <c r="WGN12" s="513"/>
      <c r="WGO12" s="513"/>
      <c r="WGP12" s="513"/>
      <c r="WGQ12" s="513"/>
      <c r="WGR12" s="513"/>
      <c r="WGS12" s="513"/>
      <c r="WGT12" s="513"/>
      <c r="WGU12" s="513"/>
      <c r="WGV12" s="513"/>
      <c r="WGW12" s="513"/>
      <c r="WGX12" s="513"/>
      <c r="WGY12" s="513"/>
      <c r="WGZ12" s="513"/>
      <c r="WHA12" s="513"/>
      <c r="WHB12" s="513"/>
      <c r="WHC12" s="513"/>
      <c r="WHD12" s="513"/>
      <c r="WHE12" s="513"/>
      <c r="WHF12" s="513"/>
      <c r="WHG12" s="513"/>
      <c r="WHH12" s="513"/>
      <c r="WHI12" s="513"/>
      <c r="WHJ12" s="513"/>
      <c r="WHK12" s="513"/>
      <c r="WHL12" s="513"/>
      <c r="WHM12" s="513"/>
      <c r="WHN12" s="513"/>
      <c r="WHO12" s="513"/>
      <c r="WHP12" s="513"/>
      <c r="WHQ12" s="513"/>
      <c r="WHR12" s="513"/>
      <c r="WHS12" s="513"/>
      <c r="WHT12" s="513"/>
      <c r="WHU12" s="513"/>
      <c r="WHV12" s="513"/>
      <c r="WHW12" s="513"/>
      <c r="WHX12" s="513"/>
      <c r="WHY12" s="513"/>
      <c r="WHZ12" s="513"/>
      <c r="WIA12" s="513"/>
      <c r="WIB12" s="513"/>
      <c r="WIC12" s="513"/>
      <c r="WID12" s="513"/>
      <c r="WIE12" s="513"/>
      <c r="WIF12" s="513"/>
      <c r="WIG12" s="513"/>
      <c r="WIH12" s="513"/>
      <c r="WII12" s="513"/>
      <c r="WIJ12" s="513"/>
      <c r="WIK12" s="513"/>
      <c r="WIL12" s="513"/>
      <c r="WIM12" s="513"/>
      <c r="WIN12" s="513"/>
      <c r="WIO12" s="513"/>
      <c r="WIP12" s="513"/>
      <c r="WIQ12" s="513"/>
      <c r="WIR12" s="513"/>
      <c r="WIS12" s="513"/>
      <c r="WIT12" s="513"/>
      <c r="WIU12" s="513"/>
      <c r="WIV12" s="513"/>
      <c r="WIW12" s="513"/>
      <c r="WIX12" s="513"/>
      <c r="WIY12" s="513"/>
      <c r="WIZ12" s="513"/>
      <c r="WJA12" s="513"/>
      <c r="WJB12" s="513"/>
      <c r="WJC12" s="513"/>
      <c r="WJD12" s="513"/>
      <c r="WJE12" s="513"/>
      <c r="WJF12" s="513"/>
      <c r="WJG12" s="513"/>
      <c r="WJH12" s="513"/>
      <c r="WJI12" s="513"/>
      <c r="WJJ12" s="513"/>
      <c r="WJK12" s="513"/>
      <c r="WJL12" s="513"/>
      <c r="WJM12" s="513"/>
      <c r="WJN12" s="513"/>
      <c r="WJO12" s="513"/>
      <c r="WJP12" s="513"/>
      <c r="WJQ12" s="513"/>
      <c r="WJR12" s="513"/>
      <c r="WJS12" s="513"/>
      <c r="WJT12" s="513"/>
      <c r="WJU12" s="513"/>
      <c r="WJV12" s="513"/>
      <c r="WJW12" s="513"/>
      <c r="WJX12" s="513"/>
      <c r="WJY12" s="513"/>
      <c r="WJZ12" s="513"/>
      <c r="WKA12" s="513"/>
      <c r="WKB12" s="513"/>
      <c r="WKC12" s="513"/>
      <c r="WKD12" s="513"/>
      <c r="WKE12" s="513"/>
      <c r="WKF12" s="513"/>
      <c r="WKG12" s="513"/>
      <c r="WKH12" s="513"/>
      <c r="WKI12" s="513"/>
      <c r="WKJ12" s="513"/>
      <c r="WKK12" s="513"/>
      <c r="WKL12" s="513"/>
      <c r="WKM12" s="513"/>
      <c r="WKN12" s="513"/>
      <c r="WKO12" s="513"/>
      <c r="WKP12" s="513"/>
      <c r="WKQ12" s="513"/>
      <c r="WKR12" s="513"/>
      <c r="WKS12" s="513"/>
      <c r="WKT12" s="513"/>
      <c r="WKU12" s="513"/>
      <c r="WKV12" s="513"/>
      <c r="WKW12" s="513"/>
      <c r="WKX12" s="513"/>
      <c r="WKY12" s="513"/>
      <c r="WKZ12" s="513"/>
      <c r="WLA12" s="513"/>
      <c r="WLB12" s="513"/>
      <c r="WLC12" s="513"/>
      <c r="WLD12" s="513"/>
      <c r="WLE12" s="513"/>
      <c r="WLF12" s="513"/>
      <c r="WLG12" s="513"/>
      <c r="WLH12" s="513"/>
      <c r="WLI12" s="513"/>
      <c r="WLJ12" s="513"/>
      <c r="WLK12" s="513"/>
      <c r="WLL12" s="513"/>
      <c r="WLM12" s="513"/>
      <c r="WLN12" s="513"/>
      <c r="WLO12" s="513"/>
      <c r="WLP12" s="513"/>
      <c r="WLQ12" s="513"/>
      <c r="WLR12" s="513"/>
      <c r="WLS12" s="513"/>
      <c r="WLT12" s="513"/>
      <c r="WLU12" s="513"/>
      <c r="WLV12" s="513"/>
      <c r="WLW12" s="513"/>
      <c r="WLX12" s="513"/>
      <c r="WLY12" s="513"/>
      <c r="WLZ12" s="513"/>
      <c r="WMA12" s="513"/>
      <c r="WMB12" s="513"/>
      <c r="WMC12" s="513"/>
      <c r="WMD12" s="513"/>
      <c r="WME12" s="513"/>
      <c r="WMF12" s="513"/>
      <c r="WMG12" s="513"/>
      <c r="WMH12" s="513"/>
      <c r="WMI12" s="513"/>
      <c r="WMJ12" s="513"/>
      <c r="WMK12" s="513"/>
      <c r="WML12" s="513"/>
      <c r="WMM12" s="513"/>
      <c r="WMN12" s="513"/>
      <c r="WMO12" s="513"/>
      <c r="WMP12" s="513"/>
      <c r="WMQ12" s="513"/>
      <c r="WMR12" s="513"/>
      <c r="WMS12" s="513"/>
      <c r="WMT12" s="513"/>
      <c r="WMU12" s="513"/>
      <c r="WMV12" s="513"/>
      <c r="WMW12" s="513"/>
      <c r="WMX12" s="513"/>
      <c r="WMY12" s="513"/>
      <c r="WMZ12" s="513"/>
      <c r="WNA12" s="513"/>
      <c r="WNB12" s="513"/>
      <c r="WNC12" s="513"/>
      <c r="WND12" s="513"/>
      <c r="WNE12" s="513"/>
      <c r="WNF12" s="513"/>
      <c r="WNG12" s="513"/>
      <c r="WNH12" s="513"/>
      <c r="WNI12" s="513"/>
      <c r="WNJ12" s="513"/>
      <c r="WNK12" s="513"/>
      <c r="WNL12" s="513"/>
      <c r="WNM12" s="513"/>
      <c r="WNN12" s="513"/>
      <c r="WNO12" s="513"/>
      <c r="WNP12" s="513"/>
      <c r="WNQ12" s="513"/>
      <c r="WNR12" s="513"/>
      <c r="WNS12" s="513"/>
      <c r="WNT12" s="513"/>
      <c r="WNU12" s="513"/>
      <c r="WNV12" s="513"/>
      <c r="WNW12" s="513"/>
      <c r="WNX12" s="513"/>
      <c r="WNY12" s="513"/>
      <c r="WNZ12" s="513"/>
      <c r="WOA12" s="513"/>
      <c r="WOB12" s="513"/>
      <c r="WOC12" s="513"/>
      <c r="WOD12" s="513"/>
      <c r="WOE12" s="513"/>
      <c r="WOF12" s="513"/>
      <c r="WOG12" s="513"/>
      <c r="WOH12" s="513"/>
      <c r="WOI12" s="513"/>
      <c r="WOJ12" s="513"/>
      <c r="WOK12" s="513"/>
      <c r="WOL12" s="513"/>
      <c r="WOM12" s="513"/>
      <c r="WON12" s="513"/>
      <c r="WOO12" s="513"/>
      <c r="WOP12" s="513"/>
      <c r="WOQ12" s="513"/>
      <c r="WOR12" s="513"/>
      <c r="WOS12" s="513"/>
      <c r="WOT12" s="513"/>
      <c r="WOU12" s="513"/>
      <c r="WOV12" s="513"/>
      <c r="WOW12" s="513"/>
      <c r="WOX12" s="513"/>
      <c r="WOY12" s="513"/>
      <c r="WOZ12" s="513"/>
      <c r="WPA12" s="513"/>
      <c r="WPB12" s="513"/>
      <c r="WPC12" s="513"/>
      <c r="WPD12" s="513"/>
      <c r="WPE12" s="513"/>
      <c r="WPF12" s="513"/>
      <c r="WPG12" s="513"/>
      <c r="WPH12" s="513"/>
      <c r="WPI12" s="513"/>
      <c r="WPJ12" s="513"/>
      <c r="WPK12" s="513"/>
      <c r="WPL12" s="513"/>
      <c r="WPM12" s="513"/>
      <c r="WPN12" s="513"/>
      <c r="WPO12" s="513"/>
      <c r="WPP12" s="513"/>
      <c r="WPQ12" s="513"/>
      <c r="WPR12" s="513"/>
      <c r="WPS12" s="513"/>
      <c r="WPT12" s="513"/>
      <c r="WPU12" s="513"/>
      <c r="WPV12" s="513"/>
      <c r="WPW12" s="513"/>
      <c r="WPX12" s="513"/>
      <c r="WPY12" s="513"/>
      <c r="WPZ12" s="513"/>
      <c r="WQA12" s="513"/>
      <c r="WQB12" s="513"/>
      <c r="WQC12" s="513"/>
      <c r="WQD12" s="513"/>
      <c r="WQE12" s="513"/>
      <c r="WQF12" s="513"/>
      <c r="WQG12" s="513"/>
      <c r="WQH12" s="513"/>
      <c r="WQI12" s="513"/>
      <c r="WQJ12" s="513"/>
      <c r="WQK12" s="513"/>
      <c r="WQL12" s="513"/>
      <c r="WQM12" s="513"/>
      <c r="WQN12" s="513"/>
      <c r="WQO12" s="513"/>
      <c r="WQP12" s="513"/>
      <c r="WQQ12" s="513"/>
      <c r="WQR12" s="513"/>
      <c r="WQS12" s="513"/>
      <c r="WQT12" s="513"/>
      <c r="WQU12" s="513"/>
      <c r="WQV12" s="513"/>
      <c r="WQW12" s="513"/>
      <c r="WQX12" s="513"/>
      <c r="WQY12" s="513"/>
      <c r="WQZ12" s="513"/>
      <c r="WRA12" s="513"/>
      <c r="WRB12" s="513"/>
      <c r="WRC12" s="513"/>
      <c r="WRD12" s="513"/>
      <c r="WRE12" s="513"/>
      <c r="WRF12" s="513"/>
      <c r="WRG12" s="513"/>
      <c r="WRH12" s="513"/>
      <c r="WRI12" s="513"/>
      <c r="WRJ12" s="513"/>
      <c r="WRK12" s="513"/>
      <c r="WRL12" s="513"/>
      <c r="WRM12" s="513"/>
      <c r="WRN12" s="513"/>
      <c r="WRO12" s="513"/>
      <c r="WRP12" s="513"/>
      <c r="WRQ12" s="513"/>
      <c r="WRR12" s="513"/>
      <c r="WRS12" s="513"/>
      <c r="WRT12" s="513"/>
      <c r="WRU12" s="513"/>
      <c r="WRV12" s="513"/>
      <c r="WRW12" s="513"/>
      <c r="WRX12" s="513"/>
      <c r="WRY12" s="513"/>
      <c r="WRZ12" s="513"/>
      <c r="WSA12" s="513"/>
      <c r="WSB12" s="513"/>
      <c r="WSC12" s="513"/>
      <c r="WSD12" s="513"/>
      <c r="WSE12" s="513"/>
      <c r="WSF12" s="513"/>
      <c r="WSG12" s="513"/>
      <c r="WSH12" s="513"/>
      <c r="WSI12" s="513"/>
      <c r="WSJ12" s="513"/>
      <c r="WSK12" s="513"/>
      <c r="WSL12" s="513"/>
      <c r="WSM12" s="513"/>
      <c r="WSN12" s="513"/>
      <c r="WSO12" s="513"/>
      <c r="WSP12" s="513"/>
      <c r="WSQ12" s="513"/>
      <c r="WSR12" s="513"/>
      <c r="WSS12" s="513"/>
      <c r="WST12" s="513"/>
      <c r="WSU12" s="513"/>
      <c r="WSV12" s="513"/>
      <c r="WSW12" s="513"/>
      <c r="WSX12" s="513"/>
      <c r="WSY12" s="513"/>
      <c r="WSZ12" s="513"/>
      <c r="WTA12" s="513"/>
      <c r="WTB12" s="513"/>
      <c r="WTC12" s="513"/>
      <c r="WTD12" s="513"/>
      <c r="WTE12" s="513"/>
      <c r="WTF12" s="513"/>
      <c r="WTG12" s="513"/>
      <c r="WTH12" s="513"/>
      <c r="WTI12" s="513"/>
      <c r="WTJ12" s="513"/>
      <c r="WTK12" s="513"/>
      <c r="WTL12" s="513"/>
      <c r="WTM12" s="513"/>
      <c r="WTN12" s="513"/>
      <c r="WTO12" s="513"/>
      <c r="WTP12" s="513"/>
      <c r="WTQ12" s="513"/>
      <c r="WTR12" s="513"/>
      <c r="WTS12" s="513"/>
      <c r="WTT12" s="513"/>
      <c r="WTU12" s="513"/>
      <c r="WTV12" s="513"/>
      <c r="WTW12" s="513"/>
      <c r="WTX12" s="513"/>
      <c r="WTY12" s="513"/>
      <c r="WTZ12" s="513"/>
      <c r="WUA12" s="513"/>
      <c r="WUB12" s="513"/>
      <c r="WUC12" s="513"/>
      <c r="WUD12" s="513"/>
      <c r="WUE12" s="513"/>
      <c r="WUF12" s="513"/>
      <c r="WUG12" s="513"/>
      <c r="WUH12" s="513"/>
      <c r="WUI12" s="513"/>
      <c r="WUJ12" s="513"/>
      <c r="WUK12" s="513"/>
      <c r="WUL12" s="513"/>
      <c r="WUM12" s="513"/>
      <c r="WUN12" s="513"/>
      <c r="WUO12" s="513"/>
      <c r="WUP12" s="513"/>
      <c r="WUQ12" s="513"/>
      <c r="WUR12" s="513"/>
      <c r="WUS12" s="513"/>
      <c r="WUT12" s="513"/>
      <c r="WUU12" s="513"/>
      <c r="WUV12" s="513"/>
      <c r="WUW12" s="513"/>
      <c r="WUX12" s="513"/>
      <c r="WUY12" s="513"/>
      <c r="WUZ12" s="513"/>
      <c r="WVA12" s="513"/>
      <c r="WVB12" s="513"/>
      <c r="WVC12" s="513"/>
      <c r="WVD12" s="513"/>
      <c r="WVE12" s="513"/>
      <c r="WVF12" s="513"/>
      <c r="WVG12" s="513"/>
      <c r="WVH12" s="513"/>
      <c r="WVI12" s="513"/>
      <c r="WVJ12" s="513"/>
      <c r="WVK12" s="513"/>
      <c r="WVL12" s="513"/>
      <c r="WVM12" s="513"/>
      <c r="WVN12" s="513"/>
      <c r="WVO12" s="513"/>
      <c r="WVP12" s="513"/>
      <c r="WVQ12" s="513"/>
      <c r="WVR12" s="513"/>
      <c r="WVS12" s="513"/>
      <c r="WVT12" s="513"/>
      <c r="WVU12" s="513"/>
      <c r="WVV12" s="513"/>
      <c r="WVW12" s="513"/>
      <c r="WVX12" s="513"/>
      <c r="WVY12" s="513"/>
      <c r="WVZ12" s="513"/>
      <c r="WWA12" s="513"/>
      <c r="WWB12" s="513"/>
      <c r="WWC12" s="513"/>
      <c r="WWD12" s="513"/>
      <c r="WWE12" s="513"/>
      <c r="WWF12" s="513"/>
      <c r="WWG12" s="513"/>
      <c r="WWH12" s="513"/>
      <c r="WWI12" s="513"/>
      <c r="WWJ12" s="513"/>
      <c r="WWK12" s="513"/>
      <c r="WWL12" s="513"/>
      <c r="WWM12" s="513"/>
      <c r="WWN12" s="513"/>
      <c r="WWO12" s="513"/>
      <c r="WWP12" s="513"/>
      <c r="WWQ12" s="513"/>
      <c r="WWR12" s="513"/>
      <c r="WWS12" s="513"/>
      <c r="WWT12" s="513"/>
      <c r="WWU12" s="513"/>
      <c r="WWV12" s="513"/>
      <c r="WWW12" s="513"/>
      <c r="WWX12" s="513"/>
      <c r="WWY12" s="513"/>
      <c r="WWZ12" s="513"/>
      <c r="WXA12" s="513"/>
      <c r="WXB12" s="513"/>
      <c r="WXC12" s="513"/>
      <c r="WXD12" s="513"/>
      <c r="WXE12" s="513"/>
      <c r="WXF12" s="513"/>
      <c r="WXG12" s="513"/>
      <c r="WXH12" s="513"/>
      <c r="WXI12" s="513"/>
      <c r="WXJ12" s="513"/>
      <c r="WXK12" s="513"/>
      <c r="WXL12" s="513"/>
      <c r="WXM12" s="513"/>
      <c r="WXN12" s="513"/>
      <c r="WXO12" s="513"/>
      <c r="WXP12" s="513"/>
      <c r="WXQ12" s="513"/>
      <c r="WXR12" s="513"/>
      <c r="WXS12" s="513"/>
      <c r="WXT12" s="513"/>
      <c r="WXU12" s="513"/>
      <c r="WXV12" s="513"/>
      <c r="WXW12" s="513"/>
      <c r="WXX12" s="513"/>
      <c r="WXY12" s="513"/>
      <c r="WXZ12" s="513"/>
      <c r="WYA12" s="513"/>
      <c r="WYB12" s="513"/>
      <c r="WYC12" s="513"/>
      <c r="WYD12" s="513"/>
      <c r="WYE12" s="513"/>
      <c r="WYF12" s="513"/>
      <c r="WYG12" s="513"/>
      <c r="WYH12" s="513"/>
      <c r="WYI12" s="513"/>
      <c r="WYJ12" s="513"/>
      <c r="WYK12" s="513"/>
      <c r="WYL12" s="513"/>
      <c r="WYM12" s="513"/>
      <c r="WYN12" s="513"/>
      <c r="WYO12" s="513"/>
      <c r="WYP12" s="513"/>
      <c r="WYQ12" s="513"/>
      <c r="WYR12" s="513"/>
      <c r="WYS12" s="513"/>
      <c r="WYT12" s="513"/>
      <c r="WYU12" s="513"/>
      <c r="WYV12" s="513"/>
      <c r="WYW12" s="513"/>
      <c r="WYX12" s="513"/>
      <c r="WYY12" s="513"/>
      <c r="WYZ12" s="513"/>
      <c r="WZA12" s="513"/>
      <c r="WZB12" s="513"/>
      <c r="WZC12" s="513"/>
      <c r="WZD12" s="513"/>
      <c r="WZE12" s="513"/>
      <c r="WZF12" s="513"/>
      <c r="WZG12" s="513"/>
      <c r="WZH12" s="513"/>
      <c r="WZI12" s="513"/>
      <c r="WZJ12" s="513"/>
      <c r="WZK12" s="513"/>
      <c r="WZL12" s="513"/>
      <c r="WZM12" s="513"/>
      <c r="WZN12" s="513"/>
      <c r="WZO12" s="513"/>
      <c r="WZP12" s="513"/>
      <c r="WZQ12" s="513"/>
      <c r="WZR12" s="513"/>
      <c r="WZS12" s="513"/>
      <c r="WZT12" s="513"/>
      <c r="WZU12" s="513"/>
      <c r="WZV12" s="513"/>
      <c r="WZW12" s="513"/>
      <c r="WZX12" s="513"/>
      <c r="WZY12" s="513"/>
      <c r="WZZ12" s="513"/>
      <c r="XAA12" s="513"/>
      <c r="XAB12" s="513"/>
      <c r="XAC12" s="513"/>
      <c r="XAD12" s="513"/>
      <c r="XAE12" s="513"/>
      <c r="XAF12" s="513"/>
      <c r="XAG12" s="513"/>
      <c r="XAH12" s="513"/>
      <c r="XAI12" s="513"/>
      <c r="XAJ12" s="513"/>
      <c r="XAK12" s="513"/>
      <c r="XAL12" s="513"/>
      <c r="XAM12" s="513"/>
      <c r="XAN12" s="513"/>
      <c r="XAO12" s="513"/>
      <c r="XAP12" s="513"/>
      <c r="XAQ12" s="513"/>
      <c r="XAR12" s="513"/>
      <c r="XAS12" s="513"/>
      <c r="XAT12" s="513"/>
      <c r="XAU12" s="513"/>
      <c r="XAV12" s="513"/>
      <c r="XAW12" s="513"/>
      <c r="XAX12" s="513"/>
      <c r="XAY12" s="513"/>
      <c r="XAZ12" s="513"/>
      <c r="XBA12" s="513"/>
      <c r="XBB12" s="513"/>
      <c r="XBC12" s="513"/>
      <c r="XBD12" s="513"/>
      <c r="XBE12" s="513"/>
      <c r="XBF12" s="513"/>
      <c r="XBG12" s="513"/>
      <c r="XBH12" s="513"/>
      <c r="XBI12" s="513"/>
      <c r="XBJ12" s="513"/>
      <c r="XBK12" s="513"/>
      <c r="XBL12" s="513"/>
      <c r="XBM12" s="513"/>
      <c r="XBN12" s="513"/>
      <c r="XBO12" s="513"/>
      <c r="XBP12" s="513"/>
      <c r="XBQ12" s="513"/>
      <c r="XBR12" s="513"/>
      <c r="XBS12" s="513"/>
      <c r="XBT12" s="513"/>
      <c r="XBU12" s="513"/>
      <c r="XBV12" s="513"/>
      <c r="XBW12" s="513"/>
      <c r="XBX12" s="513"/>
      <c r="XBY12" s="513"/>
      <c r="XBZ12" s="513"/>
      <c r="XCA12" s="513"/>
      <c r="XCB12" s="513"/>
      <c r="XCC12" s="513"/>
      <c r="XCD12" s="513"/>
      <c r="XCE12" s="513"/>
      <c r="XCF12" s="513"/>
      <c r="XCG12" s="513"/>
      <c r="XCH12" s="513"/>
      <c r="XCI12" s="513"/>
      <c r="XCJ12" s="513"/>
      <c r="XCK12" s="513"/>
      <c r="XCL12" s="513"/>
      <c r="XCM12" s="513"/>
      <c r="XCN12" s="513"/>
      <c r="XCO12" s="513"/>
      <c r="XCP12" s="513"/>
      <c r="XCQ12" s="513"/>
      <c r="XCR12" s="513"/>
      <c r="XCS12" s="513"/>
      <c r="XCT12" s="513"/>
      <c r="XCU12" s="513"/>
      <c r="XCV12" s="513"/>
      <c r="XCW12" s="513"/>
      <c r="XCX12" s="513"/>
      <c r="XCY12" s="513"/>
      <c r="XCZ12" s="513"/>
      <c r="XDA12" s="513"/>
      <c r="XDB12" s="513"/>
      <c r="XDC12" s="513"/>
      <c r="XDD12" s="513"/>
      <c r="XDE12" s="513"/>
      <c r="XDF12" s="513"/>
      <c r="XDG12" s="513"/>
      <c r="XDH12" s="513"/>
      <c r="XDI12" s="513"/>
      <c r="XDJ12" s="513"/>
      <c r="XDK12" s="513"/>
      <c r="XDL12" s="513"/>
      <c r="XDM12" s="513"/>
      <c r="XDN12" s="513"/>
      <c r="XDO12" s="513"/>
      <c r="XDP12" s="513"/>
      <c r="XDQ12" s="513"/>
      <c r="XDR12" s="513"/>
      <c r="XDS12" s="513"/>
      <c r="XDT12" s="513"/>
      <c r="XDU12" s="513"/>
      <c r="XDV12" s="513"/>
      <c r="XDW12" s="513"/>
      <c r="XDX12" s="513"/>
      <c r="XDY12" s="513"/>
      <c r="XDZ12" s="513"/>
      <c r="XEA12" s="513"/>
      <c r="XEB12" s="513"/>
      <c r="XEC12" s="513"/>
      <c r="XED12" s="513"/>
      <c r="XEE12" s="513"/>
      <c r="XEF12" s="513"/>
      <c r="XEG12" s="513"/>
      <c r="XEH12" s="513"/>
      <c r="XEI12" s="513"/>
      <c r="XEJ12" s="513"/>
    </row>
    <row r="13" spans="1:16364" s="34" customFormat="1" ht="37.5" customHeight="1">
      <c r="A13" s="223"/>
      <c r="B13" s="1438" t="s">
        <v>3272</v>
      </c>
      <c r="C13" s="1439"/>
      <c r="D13" s="1439"/>
      <c r="E13" s="1434"/>
      <c r="F13" s="1439">
        <f>G13</f>
        <v>120000</v>
      </c>
      <c r="G13" s="1439">
        <v>120000</v>
      </c>
      <c r="H13" s="1434"/>
      <c r="I13" s="223" t="s">
        <v>3285</v>
      </c>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3"/>
      <c r="BV13" s="513"/>
      <c r="BW13" s="513"/>
      <c r="BX13" s="513"/>
      <c r="BY13" s="513"/>
      <c r="BZ13" s="513"/>
      <c r="CA13" s="513"/>
      <c r="CB13" s="513"/>
      <c r="CC13" s="513"/>
      <c r="CD13" s="513"/>
      <c r="CE13" s="513"/>
      <c r="CF13" s="513"/>
      <c r="CG13" s="513"/>
      <c r="CH13" s="513"/>
      <c r="CI13" s="513"/>
      <c r="CJ13" s="513"/>
      <c r="CK13" s="513"/>
      <c r="CL13" s="513"/>
      <c r="CM13" s="513"/>
      <c r="CN13" s="513"/>
      <c r="CO13" s="513"/>
      <c r="CP13" s="513"/>
      <c r="CQ13" s="513"/>
      <c r="CR13" s="513"/>
      <c r="CS13" s="513"/>
      <c r="CT13" s="513"/>
      <c r="CU13" s="513"/>
      <c r="CV13" s="513"/>
      <c r="CW13" s="513"/>
      <c r="CX13" s="513"/>
      <c r="CY13" s="513"/>
      <c r="CZ13" s="513"/>
      <c r="DA13" s="513"/>
      <c r="DB13" s="513"/>
      <c r="DC13" s="513"/>
      <c r="DD13" s="513"/>
      <c r="DE13" s="513"/>
      <c r="DF13" s="513"/>
      <c r="DG13" s="513"/>
      <c r="DH13" s="513"/>
      <c r="DI13" s="513"/>
      <c r="DJ13" s="513"/>
      <c r="DK13" s="513"/>
      <c r="DL13" s="513"/>
      <c r="DM13" s="513"/>
      <c r="DN13" s="513"/>
      <c r="DO13" s="513"/>
      <c r="DP13" s="513"/>
      <c r="DQ13" s="513"/>
      <c r="DR13" s="513"/>
      <c r="DS13" s="513"/>
      <c r="DT13" s="513"/>
      <c r="DU13" s="513"/>
      <c r="DV13" s="513"/>
      <c r="DW13" s="513"/>
      <c r="DX13" s="513"/>
      <c r="DY13" s="513"/>
      <c r="DZ13" s="513"/>
      <c r="EA13" s="513"/>
      <c r="EB13" s="513"/>
      <c r="EC13" s="513"/>
      <c r="ED13" s="513"/>
      <c r="EE13" s="513"/>
      <c r="EF13" s="513"/>
      <c r="EG13" s="513"/>
      <c r="EH13" s="513"/>
      <c r="EI13" s="513"/>
      <c r="EJ13" s="513"/>
      <c r="EK13" s="513"/>
      <c r="EL13" s="513"/>
      <c r="EM13" s="513"/>
      <c r="EN13" s="513"/>
      <c r="EO13" s="513"/>
      <c r="EP13" s="513"/>
      <c r="EQ13" s="513"/>
      <c r="ER13" s="513"/>
      <c r="ES13" s="513"/>
      <c r="ET13" s="513"/>
      <c r="EU13" s="513"/>
      <c r="EV13" s="513"/>
      <c r="EW13" s="513"/>
      <c r="EX13" s="513"/>
      <c r="EY13" s="513"/>
      <c r="EZ13" s="513"/>
      <c r="FA13" s="513"/>
      <c r="FB13" s="513"/>
      <c r="FC13" s="513"/>
      <c r="FD13" s="513"/>
      <c r="FE13" s="513"/>
      <c r="FF13" s="513"/>
      <c r="FG13" s="513"/>
      <c r="FH13" s="513"/>
      <c r="FI13" s="513"/>
      <c r="FJ13" s="513"/>
      <c r="FK13" s="513"/>
      <c r="FL13" s="513"/>
      <c r="FM13" s="513"/>
      <c r="FN13" s="513"/>
      <c r="FO13" s="513"/>
      <c r="FP13" s="513"/>
      <c r="FQ13" s="513"/>
      <c r="FR13" s="513"/>
      <c r="FS13" s="513"/>
      <c r="FT13" s="513"/>
      <c r="FU13" s="513"/>
      <c r="FV13" s="513"/>
      <c r="FW13" s="513"/>
      <c r="FX13" s="513"/>
      <c r="FY13" s="513"/>
      <c r="FZ13" s="513"/>
      <c r="GA13" s="513"/>
      <c r="GB13" s="513"/>
      <c r="GC13" s="513"/>
      <c r="GD13" s="513"/>
      <c r="GE13" s="513"/>
      <c r="GF13" s="513"/>
      <c r="GG13" s="513"/>
      <c r="GH13" s="513"/>
      <c r="GI13" s="513"/>
      <c r="GJ13" s="513"/>
      <c r="GK13" s="513"/>
      <c r="GL13" s="513"/>
      <c r="GM13" s="513"/>
      <c r="GN13" s="513"/>
      <c r="GO13" s="513"/>
      <c r="GP13" s="513"/>
      <c r="GQ13" s="513"/>
      <c r="GR13" s="513"/>
      <c r="GS13" s="513"/>
      <c r="GT13" s="513"/>
      <c r="GU13" s="513"/>
      <c r="GV13" s="513"/>
      <c r="GW13" s="513"/>
      <c r="GX13" s="513"/>
      <c r="GY13" s="513"/>
      <c r="GZ13" s="513"/>
      <c r="HA13" s="513"/>
      <c r="HB13" s="513"/>
      <c r="HC13" s="513"/>
      <c r="HD13" s="513"/>
      <c r="HE13" s="513"/>
      <c r="HF13" s="513"/>
      <c r="HG13" s="513"/>
      <c r="HH13" s="513"/>
      <c r="HI13" s="513"/>
      <c r="HJ13" s="513"/>
      <c r="HK13" s="513"/>
      <c r="HL13" s="513"/>
      <c r="HM13" s="513"/>
      <c r="HN13" s="513"/>
      <c r="HO13" s="513"/>
      <c r="HP13" s="513"/>
      <c r="HQ13" s="513"/>
      <c r="HR13" s="513"/>
      <c r="HS13" s="513"/>
      <c r="HT13" s="513"/>
      <c r="HU13" s="513"/>
      <c r="HV13" s="513"/>
      <c r="HW13" s="513"/>
      <c r="HX13" s="513"/>
      <c r="HY13" s="513"/>
      <c r="HZ13" s="513"/>
      <c r="IA13" s="513"/>
      <c r="IB13" s="513"/>
      <c r="IC13" s="513"/>
      <c r="ID13" s="513"/>
      <c r="IE13" s="513"/>
      <c r="IF13" s="513"/>
      <c r="IG13" s="513"/>
      <c r="IH13" s="513"/>
      <c r="II13" s="513"/>
      <c r="IJ13" s="513"/>
      <c r="IK13" s="513"/>
      <c r="IL13" s="513"/>
      <c r="IM13" s="513"/>
      <c r="IN13" s="513"/>
      <c r="IO13" s="513"/>
      <c r="IP13" s="513"/>
      <c r="IQ13" s="513"/>
      <c r="IR13" s="513"/>
      <c r="IS13" s="513"/>
      <c r="IT13" s="513"/>
      <c r="IU13" s="513"/>
      <c r="IV13" s="513"/>
      <c r="IW13" s="513"/>
      <c r="IX13" s="513"/>
      <c r="IY13" s="513"/>
      <c r="IZ13" s="513"/>
      <c r="JA13" s="513"/>
      <c r="JB13" s="513"/>
      <c r="JC13" s="513"/>
      <c r="JD13" s="513"/>
      <c r="JE13" s="513"/>
      <c r="JF13" s="513"/>
      <c r="JG13" s="513"/>
      <c r="JH13" s="513"/>
      <c r="JI13" s="513"/>
      <c r="JJ13" s="513"/>
      <c r="JK13" s="513"/>
      <c r="JL13" s="513"/>
      <c r="JM13" s="513"/>
      <c r="JN13" s="513"/>
      <c r="JO13" s="513"/>
      <c r="JP13" s="513"/>
      <c r="JQ13" s="513"/>
      <c r="JR13" s="513"/>
      <c r="JS13" s="513"/>
      <c r="JT13" s="513"/>
      <c r="JU13" s="513"/>
      <c r="JV13" s="513"/>
      <c r="JW13" s="513"/>
      <c r="JX13" s="513"/>
      <c r="JY13" s="513"/>
      <c r="JZ13" s="513"/>
      <c r="KA13" s="513"/>
      <c r="KB13" s="513"/>
      <c r="KC13" s="513"/>
      <c r="KD13" s="513"/>
      <c r="KE13" s="513"/>
      <c r="KF13" s="513"/>
      <c r="KG13" s="513"/>
      <c r="KH13" s="513"/>
      <c r="KI13" s="513"/>
      <c r="KJ13" s="513"/>
      <c r="KK13" s="513"/>
      <c r="KL13" s="513"/>
      <c r="KM13" s="513"/>
      <c r="KN13" s="513"/>
      <c r="KO13" s="513"/>
      <c r="KP13" s="513"/>
      <c r="KQ13" s="513"/>
      <c r="KR13" s="513"/>
      <c r="KS13" s="513"/>
      <c r="KT13" s="513"/>
      <c r="KU13" s="513"/>
      <c r="KV13" s="513"/>
      <c r="KW13" s="513"/>
      <c r="KX13" s="513"/>
      <c r="KY13" s="513"/>
      <c r="KZ13" s="513"/>
      <c r="LA13" s="513"/>
      <c r="LB13" s="513"/>
      <c r="LC13" s="513"/>
      <c r="LD13" s="513"/>
      <c r="LE13" s="513"/>
      <c r="LF13" s="513"/>
      <c r="LG13" s="513"/>
      <c r="LH13" s="513"/>
      <c r="LI13" s="513"/>
      <c r="LJ13" s="513"/>
      <c r="LK13" s="513"/>
      <c r="LL13" s="513"/>
      <c r="LM13" s="513"/>
      <c r="LN13" s="513"/>
      <c r="LO13" s="513"/>
      <c r="LP13" s="513"/>
      <c r="LQ13" s="513"/>
      <c r="LR13" s="513"/>
      <c r="LS13" s="513"/>
      <c r="LT13" s="513"/>
      <c r="LU13" s="513"/>
      <c r="LV13" s="513"/>
      <c r="LW13" s="513"/>
      <c r="LX13" s="513"/>
      <c r="LY13" s="513"/>
      <c r="LZ13" s="513"/>
      <c r="MA13" s="513"/>
      <c r="MB13" s="513"/>
      <c r="MC13" s="513"/>
      <c r="MD13" s="513"/>
      <c r="ME13" s="513"/>
      <c r="MF13" s="513"/>
      <c r="MG13" s="513"/>
      <c r="MH13" s="513"/>
      <c r="MI13" s="513"/>
      <c r="MJ13" s="513"/>
      <c r="MK13" s="513"/>
      <c r="ML13" s="513"/>
      <c r="MM13" s="513"/>
      <c r="MN13" s="513"/>
      <c r="MO13" s="513"/>
      <c r="MP13" s="513"/>
      <c r="MQ13" s="513"/>
      <c r="MR13" s="513"/>
      <c r="MS13" s="513"/>
      <c r="MT13" s="513"/>
      <c r="MU13" s="513"/>
      <c r="MV13" s="513"/>
      <c r="MW13" s="513"/>
      <c r="MX13" s="513"/>
      <c r="MY13" s="513"/>
      <c r="MZ13" s="513"/>
      <c r="NA13" s="513"/>
      <c r="NB13" s="513"/>
      <c r="NC13" s="513"/>
      <c r="ND13" s="513"/>
      <c r="NE13" s="513"/>
      <c r="NF13" s="513"/>
      <c r="NG13" s="513"/>
      <c r="NH13" s="513"/>
      <c r="NI13" s="513"/>
      <c r="NJ13" s="513"/>
      <c r="NK13" s="513"/>
      <c r="NL13" s="513"/>
      <c r="NM13" s="513"/>
      <c r="NN13" s="513"/>
      <c r="NO13" s="513"/>
      <c r="NP13" s="513"/>
      <c r="NQ13" s="513"/>
      <c r="NR13" s="513"/>
      <c r="NS13" s="513"/>
      <c r="NT13" s="513"/>
      <c r="NU13" s="513"/>
      <c r="NV13" s="513"/>
      <c r="NW13" s="513"/>
      <c r="NX13" s="513"/>
      <c r="NY13" s="513"/>
      <c r="NZ13" s="513"/>
      <c r="OA13" s="513"/>
      <c r="OB13" s="513"/>
      <c r="OC13" s="513"/>
      <c r="OD13" s="513"/>
      <c r="OE13" s="513"/>
      <c r="OF13" s="513"/>
      <c r="OG13" s="513"/>
      <c r="OH13" s="513"/>
      <c r="OI13" s="513"/>
      <c r="OJ13" s="513"/>
      <c r="OK13" s="513"/>
      <c r="OL13" s="513"/>
      <c r="OM13" s="513"/>
      <c r="ON13" s="513"/>
      <c r="OO13" s="513"/>
      <c r="OP13" s="513"/>
      <c r="OQ13" s="513"/>
      <c r="OR13" s="513"/>
      <c r="OS13" s="513"/>
      <c r="OT13" s="513"/>
      <c r="OU13" s="513"/>
      <c r="OV13" s="513"/>
      <c r="OW13" s="513"/>
      <c r="OX13" s="513"/>
      <c r="OY13" s="513"/>
      <c r="OZ13" s="513"/>
      <c r="PA13" s="513"/>
      <c r="PB13" s="513"/>
      <c r="PC13" s="513"/>
      <c r="PD13" s="513"/>
      <c r="PE13" s="513"/>
      <c r="PF13" s="513"/>
      <c r="PG13" s="513"/>
      <c r="PH13" s="513"/>
      <c r="PI13" s="513"/>
      <c r="PJ13" s="513"/>
      <c r="PK13" s="513"/>
      <c r="PL13" s="513"/>
      <c r="PM13" s="513"/>
      <c r="PN13" s="513"/>
      <c r="PO13" s="513"/>
      <c r="PP13" s="513"/>
      <c r="PQ13" s="513"/>
      <c r="PR13" s="513"/>
      <c r="PS13" s="513"/>
      <c r="PT13" s="513"/>
      <c r="PU13" s="513"/>
      <c r="PV13" s="513"/>
      <c r="PW13" s="513"/>
      <c r="PX13" s="513"/>
      <c r="PY13" s="513"/>
      <c r="PZ13" s="513"/>
      <c r="QA13" s="513"/>
      <c r="QB13" s="513"/>
      <c r="QC13" s="513"/>
      <c r="QD13" s="513"/>
      <c r="QE13" s="513"/>
      <c r="QF13" s="513"/>
      <c r="QG13" s="513"/>
      <c r="QH13" s="513"/>
      <c r="QI13" s="513"/>
      <c r="QJ13" s="513"/>
      <c r="QK13" s="513"/>
      <c r="QL13" s="513"/>
      <c r="QM13" s="513"/>
      <c r="QN13" s="513"/>
      <c r="QO13" s="513"/>
      <c r="QP13" s="513"/>
      <c r="QQ13" s="513"/>
      <c r="QR13" s="513"/>
      <c r="QS13" s="513"/>
      <c r="QT13" s="513"/>
      <c r="QU13" s="513"/>
      <c r="QV13" s="513"/>
      <c r="QW13" s="513"/>
      <c r="QX13" s="513"/>
      <c r="QY13" s="513"/>
      <c r="QZ13" s="513"/>
      <c r="RA13" s="513"/>
      <c r="RB13" s="513"/>
      <c r="RC13" s="513"/>
      <c r="RD13" s="513"/>
      <c r="RE13" s="513"/>
      <c r="RF13" s="513"/>
      <c r="RG13" s="513"/>
      <c r="RH13" s="513"/>
      <c r="RI13" s="513"/>
      <c r="RJ13" s="513"/>
      <c r="RK13" s="513"/>
      <c r="RL13" s="513"/>
      <c r="RM13" s="513"/>
      <c r="RN13" s="513"/>
      <c r="RO13" s="513"/>
      <c r="RP13" s="513"/>
      <c r="RQ13" s="513"/>
      <c r="RR13" s="513"/>
      <c r="RS13" s="513"/>
      <c r="RT13" s="513"/>
      <c r="RU13" s="513"/>
      <c r="RV13" s="513"/>
      <c r="RW13" s="513"/>
      <c r="RX13" s="513"/>
      <c r="RY13" s="513"/>
      <c r="RZ13" s="513"/>
      <c r="SA13" s="513"/>
      <c r="SB13" s="513"/>
      <c r="SC13" s="513"/>
      <c r="SD13" s="513"/>
      <c r="SE13" s="513"/>
      <c r="SF13" s="513"/>
      <c r="SG13" s="513"/>
      <c r="SH13" s="513"/>
      <c r="SI13" s="513"/>
      <c r="SJ13" s="513"/>
      <c r="SK13" s="513"/>
      <c r="SL13" s="513"/>
      <c r="SM13" s="513"/>
      <c r="SN13" s="513"/>
      <c r="SO13" s="513"/>
      <c r="SP13" s="513"/>
      <c r="SQ13" s="513"/>
      <c r="SR13" s="513"/>
      <c r="SS13" s="513"/>
      <c r="ST13" s="513"/>
      <c r="SU13" s="513"/>
      <c r="SV13" s="513"/>
      <c r="SW13" s="513"/>
      <c r="SX13" s="513"/>
      <c r="SY13" s="513"/>
      <c r="SZ13" s="513"/>
      <c r="TA13" s="513"/>
      <c r="TB13" s="513"/>
      <c r="TC13" s="513"/>
      <c r="TD13" s="513"/>
      <c r="TE13" s="513"/>
      <c r="TF13" s="513"/>
      <c r="TG13" s="513"/>
      <c r="TH13" s="513"/>
      <c r="TI13" s="513"/>
      <c r="TJ13" s="513"/>
      <c r="TK13" s="513"/>
      <c r="TL13" s="513"/>
      <c r="TM13" s="513"/>
      <c r="TN13" s="513"/>
      <c r="TO13" s="513"/>
      <c r="TP13" s="513"/>
      <c r="TQ13" s="513"/>
      <c r="TR13" s="513"/>
      <c r="TS13" s="513"/>
      <c r="TT13" s="513"/>
      <c r="TU13" s="513"/>
      <c r="TV13" s="513"/>
      <c r="TW13" s="513"/>
      <c r="TX13" s="513"/>
      <c r="TY13" s="513"/>
      <c r="TZ13" s="513"/>
      <c r="UA13" s="513"/>
      <c r="UB13" s="513"/>
      <c r="UC13" s="513"/>
      <c r="UD13" s="513"/>
      <c r="UE13" s="513"/>
      <c r="UF13" s="513"/>
      <c r="UG13" s="513"/>
      <c r="UH13" s="513"/>
      <c r="UI13" s="513"/>
      <c r="UJ13" s="513"/>
      <c r="UK13" s="513"/>
      <c r="UL13" s="513"/>
      <c r="UM13" s="513"/>
      <c r="UN13" s="513"/>
      <c r="UO13" s="513"/>
      <c r="UP13" s="513"/>
      <c r="UQ13" s="513"/>
      <c r="UR13" s="513"/>
      <c r="US13" s="513"/>
      <c r="UT13" s="513"/>
      <c r="UU13" s="513"/>
      <c r="UV13" s="513"/>
      <c r="UW13" s="513"/>
      <c r="UX13" s="513"/>
      <c r="UY13" s="513"/>
      <c r="UZ13" s="513"/>
      <c r="VA13" s="513"/>
      <c r="VB13" s="513"/>
      <c r="VC13" s="513"/>
      <c r="VD13" s="513"/>
      <c r="VE13" s="513"/>
      <c r="VF13" s="513"/>
      <c r="VG13" s="513"/>
      <c r="VH13" s="513"/>
      <c r="VI13" s="513"/>
      <c r="VJ13" s="513"/>
      <c r="VK13" s="513"/>
      <c r="VL13" s="513"/>
      <c r="VM13" s="513"/>
      <c r="VN13" s="513"/>
      <c r="VO13" s="513"/>
      <c r="VP13" s="513"/>
      <c r="VQ13" s="513"/>
      <c r="VR13" s="513"/>
      <c r="VS13" s="513"/>
      <c r="VT13" s="513"/>
      <c r="VU13" s="513"/>
      <c r="VV13" s="513"/>
      <c r="VW13" s="513"/>
      <c r="VX13" s="513"/>
      <c r="VY13" s="513"/>
      <c r="VZ13" s="513"/>
      <c r="WA13" s="513"/>
      <c r="WB13" s="513"/>
      <c r="WC13" s="513"/>
      <c r="WD13" s="513"/>
      <c r="WE13" s="513"/>
      <c r="WF13" s="513"/>
      <c r="WG13" s="513"/>
      <c r="WH13" s="513"/>
      <c r="WI13" s="513"/>
      <c r="WJ13" s="513"/>
      <c r="WK13" s="513"/>
      <c r="WL13" s="513"/>
      <c r="WM13" s="513"/>
      <c r="WN13" s="513"/>
      <c r="WO13" s="513"/>
      <c r="WP13" s="513"/>
      <c r="WQ13" s="513"/>
      <c r="WR13" s="513"/>
      <c r="WS13" s="513"/>
      <c r="WT13" s="513"/>
      <c r="WU13" s="513"/>
      <c r="WV13" s="513"/>
      <c r="WW13" s="513"/>
      <c r="WX13" s="513"/>
      <c r="WY13" s="513"/>
      <c r="WZ13" s="513"/>
      <c r="XA13" s="513"/>
      <c r="XB13" s="513"/>
      <c r="XC13" s="513"/>
      <c r="XD13" s="513"/>
      <c r="XE13" s="513"/>
      <c r="XF13" s="513"/>
      <c r="XG13" s="513"/>
      <c r="XH13" s="513"/>
      <c r="XI13" s="513"/>
      <c r="XJ13" s="513"/>
      <c r="XK13" s="513"/>
      <c r="XL13" s="513"/>
      <c r="XM13" s="513"/>
      <c r="XN13" s="513"/>
      <c r="XO13" s="513"/>
      <c r="XP13" s="513"/>
      <c r="XQ13" s="513"/>
      <c r="XR13" s="513"/>
      <c r="XS13" s="513"/>
      <c r="XT13" s="513"/>
      <c r="XU13" s="513"/>
      <c r="XV13" s="513"/>
      <c r="XW13" s="513"/>
      <c r="XX13" s="513"/>
      <c r="XY13" s="513"/>
      <c r="XZ13" s="513"/>
      <c r="YA13" s="513"/>
      <c r="YB13" s="513"/>
      <c r="YC13" s="513"/>
      <c r="YD13" s="513"/>
      <c r="YE13" s="513"/>
      <c r="YF13" s="513"/>
      <c r="YG13" s="513"/>
      <c r="YH13" s="513"/>
      <c r="YI13" s="513"/>
      <c r="YJ13" s="513"/>
      <c r="YK13" s="513"/>
      <c r="YL13" s="513"/>
      <c r="YM13" s="513"/>
      <c r="YN13" s="513"/>
      <c r="YO13" s="513"/>
      <c r="YP13" s="513"/>
      <c r="YQ13" s="513"/>
      <c r="YR13" s="513"/>
      <c r="YS13" s="513"/>
      <c r="YT13" s="513"/>
      <c r="YU13" s="513"/>
      <c r="YV13" s="513"/>
      <c r="YW13" s="513"/>
      <c r="YX13" s="513"/>
      <c r="YY13" s="513"/>
      <c r="YZ13" s="513"/>
      <c r="ZA13" s="513"/>
      <c r="ZB13" s="513"/>
      <c r="ZC13" s="513"/>
      <c r="ZD13" s="513"/>
      <c r="ZE13" s="513"/>
      <c r="ZF13" s="513"/>
      <c r="ZG13" s="513"/>
      <c r="ZH13" s="513"/>
      <c r="ZI13" s="513"/>
      <c r="ZJ13" s="513"/>
      <c r="ZK13" s="513"/>
      <c r="ZL13" s="513"/>
      <c r="ZM13" s="513"/>
      <c r="ZN13" s="513"/>
      <c r="ZO13" s="513"/>
      <c r="ZP13" s="513"/>
      <c r="ZQ13" s="513"/>
      <c r="ZR13" s="513"/>
      <c r="ZS13" s="513"/>
      <c r="ZT13" s="513"/>
      <c r="ZU13" s="513"/>
      <c r="ZV13" s="513"/>
      <c r="ZW13" s="513"/>
      <c r="ZX13" s="513"/>
      <c r="ZY13" s="513"/>
      <c r="ZZ13" s="513"/>
      <c r="AAA13" s="513"/>
      <c r="AAB13" s="513"/>
      <c r="AAC13" s="513"/>
      <c r="AAD13" s="513"/>
      <c r="AAE13" s="513"/>
      <c r="AAF13" s="513"/>
      <c r="AAG13" s="513"/>
      <c r="AAH13" s="513"/>
      <c r="AAI13" s="513"/>
      <c r="AAJ13" s="513"/>
      <c r="AAK13" s="513"/>
      <c r="AAL13" s="513"/>
      <c r="AAM13" s="513"/>
      <c r="AAN13" s="513"/>
      <c r="AAO13" s="513"/>
      <c r="AAP13" s="513"/>
      <c r="AAQ13" s="513"/>
      <c r="AAR13" s="513"/>
      <c r="AAS13" s="513"/>
      <c r="AAT13" s="513"/>
      <c r="AAU13" s="513"/>
      <c r="AAV13" s="513"/>
      <c r="AAW13" s="513"/>
      <c r="AAX13" s="513"/>
      <c r="AAY13" s="513"/>
      <c r="AAZ13" s="513"/>
      <c r="ABA13" s="513"/>
      <c r="ABB13" s="513"/>
      <c r="ABC13" s="513"/>
      <c r="ABD13" s="513"/>
      <c r="ABE13" s="513"/>
      <c r="ABF13" s="513"/>
      <c r="ABG13" s="513"/>
      <c r="ABH13" s="513"/>
      <c r="ABI13" s="513"/>
      <c r="ABJ13" s="513"/>
      <c r="ABK13" s="513"/>
      <c r="ABL13" s="513"/>
      <c r="ABM13" s="513"/>
      <c r="ABN13" s="513"/>
      <c r="ABO13" s="513"/>
      <c r="ABP13" s="513"/>
      <c r="ABQ13" s="513"/>
      <c r="ABR13" s="513"/>
      <c r="ABS13" s="513"/>
      <c r="ABT13" s="513"/>
      <c r="ABU13" s="513"/>
      <c r="ABV13" s="513"/>
      <c r="ABW13" s="513"/>
      <c r="ABX13" s="513"/>
      <c r="ABY13" s="513"/>
      <c r="ABZ13" s="513"/>
      <c r="ACA13" s="513"/>
      <c r="ACB13" s="513"/>
      <c r="ACC13" s="513"/>
      <c r="ACD13" s="513"/>
      <c r="ACE13" s="513"/>
      <c r="ACF13" s="513"/>
      <c r="ACG13" s="513"/>
      <c r="ACH13" s="513"/>
      <c r="ACI13" s="513"/>
      <c r="ACJ13" s="513"/>
      <c r="ACK13" s="513"/>
      <c r="ACL13" s="513"/>
      <c r="ACM13" s="513"/>
      <c r="ACN13" s="513"/>
      <c r="ACO13" s="513"/>
      <c r="ACP13" s="513"/>
      <c r="ACQ13" s="513"/>
      <c r="ACR13" s="513"/>
      <c r="ACS13" s="513"/>
      <c r="ACT13" s="513"/>
      <c r="ACU13" s="513"/>
      <c r="ACV13" s="513"/>
      <c r="ACW13" s="513"/>
      <c r="ACX13" s="513"/>
      <c r="ACY13" s="513"/>
      <c r="ACZ13" s="513"/>
      <c r="ADA13" s="513"/>
      <c r="ADB13" s="513"/>
      <c r="ADC13" s="513"/>
      <c r="ADD13" s="513"/>
      <c r="ADE13" s="513"/>
      <c r="ADF13" s="513"/>
      <c r="ADG13" s="513"/>
      <c r="ADH13" s="513"/>
      <c r="ADI13" s="513"/>
      <c r="ADJ13" s="513"/>
      <c r="ADK13" s="513"/>
      <c r="ADL13" s="513"/>
      <c r="ADM13" s="513"/>
      <c r="ADN13" s="513"/>
      <c r="ADO13" s="513"/>
      <c r="ADP13" s="513"/>
      <c r="ADQ13" s="513"/>
      <c r="ADR13" s="513"/>
      <c r="ADS13" s="513"/>
      <c r="ADT13" s="513"/>
      <c r="ADU13" s="513"/>
      <c r="ADV13" s="513"/>
      <c r="ADW13" s="513"/>
      <c r="ADX13" s="513"/>
      <c r="ADY13" s="513"/>
      <c r="ADZ13" s="513"/>
      <c r="AEA13" s="513"/>
      <c r="AEB13" s="513"/>
      <c r="AEC13" s="513"/>
      <c r="AED13" s="513"/>
      <c r="AEE13" s="513"/>
      <c r="AEF13" s="513"/>
      <c r="AEG13" s="513"/>
      <c r="AEH13" s="513"/>
      <c r="AEI13" s="513"/>
      <c r="AEJ13" s="513"/>
      <c r="AEK13" s="513"/>
      <c r="AEL13" s="513"/>
      <c r="AEM13" s="513"/>
      <c r="AEN13" s="513"/>
      <c r="AEO13" s="513"/>
      <c r="AEP13" s="513"/>
      <c r="AEQ13" s="513"/>
      <c r="AER13" s="513"/>
      <c r="AES13" s="513"/>
      <c r="AET13" s="513"/>
      <c r="AEU13" s="513"/>
      <c r="AEV13" s="513"/>
      <c r="AEW13" s="513"/>
      <c r="AEX13" s="513"/>
      <c r="AEY13" s="513"/>
      <c r="AEZ13" s="513"/>
      <c r="AFA13" s="513"/>
      <c r="AFB13" s="513"/>
      <c r="AFC13" s="513"/>
      <c r="AFD13" s="513"/>
      <c r="AFE13" s="513"/>
      <c r="AFF13" s="513"/>
      <c r="AFG13" s="513"/>
      <c r="AFH13" s="513"/>
      <c r="AFI13" s="513"/>
      <c r="AFJ13" s="513"/>
      <c r="AFK13" s="513"/>
      <c r="AFL13" s="513"/>
      <c r="AFM13" s="513"/>
      <c r="AFN13" s="513"/>
      <c r="AFO13" s="513"/>
      <c r="AFP13" s="513"/>
      <c r="AFQ13" s="513"/>
      <c r="AFR13" s="513"/>
      <c r="AFS13" s="513"/>
      <c r="AFT13" s="513"/>
      <c r="AFU13" s="513"/>
      <c r="AFV13" s="513"/>
      <c r="AFW13" s="513"/>
      <c r="AFX13" s="513"/>
      <c r="AFY13" s="513"/>
      <c r="AFZ13" s="513"/>
      <c r="AGA13" s="513"/>
      <c r="AGB13" s="513"/>
      <c r="AGC13" s="513"/>
      <c r="AGD13" s="513"/>
      <c r="AGE13" s="513"/>
      <c r="AGF13" s="513"/>
      <c r="AGG13" s="513"/>
      <c r="AGH13" s="513"/>
      <c r="AGI13" s="513"/>
      <c r="AGJ13" s="513"/>
      <c r="AGK13" s="513"/>
      <c r="AGL13" s="513"/>
      <c r="AGM13" s="513"/>
      <c r="AGN13" s="513"/>
      <c r="AGO13" s="513"/>
      <c r="AGP13" s="513"/>
      <c r="AGQ13" s="513"/>
      <c r="AGR13" s="513"/>
      <c r="AGS13" s="513"/>
      <c r="AGT13" s="513"/>
      <c r="AGU13" s="513"/>
      <c r="AGV13" s="513"/>
      <c r="AGW13" s="513"/>
      <c r="AGX13" s="513"/>
      <c r="AGY13" s="513"/>
      <c r="AGZ13" s="513"/>
      <c r="AHA13" s="513"/>
      <c r="AHB13" s="513"/>
      <c r="AHC13" s="513"/>
      <c r="AHD13" s="513"/>
      <c r="AHE13" s="513"/>
      <c r="AHF13" s="513"/>
      <c r="AHG13" s="513"/>
      <c r="AHH13" s="513"/>
      <c r="AHI13" s="513"/>
      <c r="AHJ13" s="513"/>
      <c r="AHK13" s="513"/>
      <c r="AHL13" s="513"/>
      <c r="AHM13" s="513"/>
      <c r="AHN13" s="513"/>
      <c r="AHO13" s="513"/>
      <c r="AHP13" s="513"/>
      <c r="AHQ13" s="513"/>
      <c r="AHR13" s="513"/>
      <c r="AHS13" s="513"/>
      <c r="AHT13" s="513"/>
      <c r="AHU13" s="513"/>
      <c r="AHV13" s="513"/>
      <c r="AHW13" s="513"/>
      <c r="AHX13" s="513"/>
      <c r="AHY13" s="513"/>
      <c r="AHZ13" s="513"/>
      <c r="AIA13" s="513"/>
      <c r="AIB13" s="513"/>
      <c r="AIC13" s="513"/>
      <c r="AID13" s="513"/>
      <c r="AIE13" s="513"/>
      <c r="AIF13" s="513"/>
      <c r="AIG13" s="513"/>
      <c r="AIH13" s="513"/>
      <c r="AII13" s="513"/>
      <c r="AIJ13" s="513"/>
      <c r="AIK13" s="513"/>
      <c r="AIL13" s="513"/>
      <c r="AIM13" s="513"/>
      <c r="AIN13" s="513"/>
      <c r="AIO13" s="513"/>
      <c r="AIP13" s="513"/>
      <c r="AIQ13" s="513"/>
      <c r="AIR13" s="513"/>
      <c r="AIS13" s="513"/>
      <c r="AIT13" s="513"/>
      <c r="AIU13" s="513"/>
      <c r="AIV13" s="513"/>
      <c r="AIW13" s="513"/>
      <c r="AIX13" s="513"/>
      <c r="AIY13" s="513"/>
      <c r="AIZ13" s="513"/>
      <c r="AJA13" s="513"/>
      <c r="AJB13" s="513"/>
      <c r="AJC13" s="513"/>
      <c r="AJD13" s="513"/>
      <c r="AJE13" s="513"/>
      <c r="AJF13" s="513"/>
      <c r="AJG13" s="513"/>
      <c r="AJH13" s="513"/>
      <c r="AJI13" s="513"/>
      <c r="AJJ13" s="513"/>
      <c r="AJK13" s="513"/>
      <c r="AJL13" s="513"/>
      <c r="AJM13" s="513"/>
      <c r="AJN13" s="513"/>
      <c r="AJO13" s="513"/>
      <c r="AJP13" s="513"/>
      <c r="AJQ13" s="513"/>
      <c r="AJR13" s="513"/>
      <c r="AJS13" s="513"/>
      <c r="AJT13" s="513"/>
      <c r="AJU13" s="513"/>
      <c r="AJV13" s="513"/>
      <c r="AJW13" s="513"/>
      <c r="AJX13" s="513"/>
      <c r="AJY13" s="513"/>
      <c r="AJZ13" s="513"/>
      <c r="AKA13" s="513"/>
      <c r="AKB13" s="513"/>
      <c r="AKC13" s="513"/>
      <c r="AKD13" s="513"/>
      <c r="AKE13" s="513"/>
      <c r="AKF13" s="513"/>
      <c r="AKG13" s="513"/>
      <c r="AKH13" s="513"/>
      <c r="AKI13" s="513"/>
      <c r="AKJ13" s="513"/>
      <c r="AKK13" s="513"/>
      <c r="AKL13" s="513"/>
      <c r="AKM13" s="513"/>
      <c r="AKN13" s="513"/>
      <c r="AKO13" s="513"/>
      <c r="AKP13" s="513"/>
      <c r="AKQ13" s="513"/>
      <c r="AKR13" s="513"/>
      <c r="AKS13" s="513"/>
      <c r="AKT13" s="513"/>
      <c r="AKU13" s="513"/>
      <c r="AKV13" s="513"/>
      <c r="AKW13" s="513"/>
      <c r="AKX13" s="513"/>
      <c r="AKY13" s="513"/>
      <c r="AKZ13" s="513"/>
      <c r="ALA13" s="513"/>
      <c r="ALB13" s="513"/>
      <c r="ALC13" s="513"/>
      <c r="ALD13" s="513"/>
      <c r="ALE13" s="513"/>
      <c r="ALF13" s="513"/>
      <c r="ALG13" s="513"/>
      <c r="ALH13" s="513"/>
      <c r="ALI13" s="513"/>
      <c r="ALJ13" s="513"/>
      <c r="ALK13" s="513"/>
      <c r="ALL13" s="513"/>
      <c r="ALM13" s="513"/>
      <c r="ALN13" s="513"/>
      <c r="ALO13" s="513"/>
      <c r="ALP13" s="513"/>
      <c r="ALQ13" s="513"/>
      <c r="ALR13" s="513"/>
      <c r="ALS13" s="513"/>
      <c r="ALT13" s="513"/>
      <c r="ALU13" s="513"/>
      <c r="ALV13" s="513"/>
      <c r="ALW13" s="513"/>
      <c r="ALX13" s="513"/>
      <c r="ALY13" s="513"/>
      <c r="ALZ13" s="513"/>
      <c r="AMA13" s="513"/>
      <c r="AMB13" s="513"/>
      <c r="AMC13" s="513"/>
      <c r="AMD13" s="513"/>
      <c r="AME13" s="513"/>
      <c r="AMF13" s="513"/>
      <c r="AMG13" s="513"/>
      <c r="AMH13" s="513"/>
      <c r="AMI13" s="513"/>
      <c r="AMJ13" s="513"/>
      <c r="AMK13" s="513"/>
      <c r="AML13" s="513"/>
      <c r="AMM13" s="513"/>
      <c r="AMN13" s="513"/>
      <c r="AMO13" s="513"/>
      <c r="AMP13" s="513"/>
      <c r="AMQ13" s="513"/>
      <c r="AMR13" s="513"/>
      <c r="AMS13" s="513"/>
      <c r="AMT13" s="513"/>
      <c r="AMU13" s="513"/>
      <c r="AMV13" s="513"/>
      <c r="AMW13" s="513"/>
      <c r="AMX13" s="513"/>
      <c r="AMY13" s="513"/>
      <c r="AMZ13" s="513"/>
      <c r="ANA13" s="513"/>
      <c r="ANB13" s="513"/>
      <c r="ANC13" s="513"/>
      <c r="AND13" s="513"/>
      <c r="ANE13" s="513"/>
      <c r="ANF13" s="513"/>
      <c r="ANG13" s="513"/>
      <c r="ANH13" s="513"/>
      <c r="ANI13" s="513"/>
      <c r="ANJ13" s="513"/>
      <c r="ANK13" s="513"/>
      <c r="ANL13" s="513"/>
      <c r="ANM13" s="513"/>
      <c r="ANN13" s="513"/>
      <c r="ANO13" s="513"/>
      <c r="ANP13" s="513"/>
      <c r="ANQ13" s="513"/>
      <c r="ANR13" s="513"/>
      <c r="ANS13" s="513"/>
      <c r="ANT13" s="513"/>
      <c r="ANU13" s="513"/>
      <c r="ANV13" s="513"/>
      <c r="ANW13" s="513"/>
      <c r="ANX13" s="513"/>
      <c r="ANY13" s="513"/>
      <c r="ANZ13" s="513"/>
      <c r="AOA13" s="513"/>
      <c r="AOB13" s="513"/>
      <c r="AOC13" s="513"/>
      <c r="AOD13" s="513"/>
      <c r="AOE13" s="513"/>
      <c r="AOF13" s="513"/>
      <c r="AOG13" s="513"/>
      <c r="AOH13" s="513"/>
      <c r="AOI13" s="513"/>
      <c r="AOJ13" s="513"/>
      <c r="AOK13" s="513"/>
      <c r="AOL13" s="513"/>
      <c r="AOM13" s="513"/>
      <c r="AON13" s="513"/>
      <c r="AOO13" s="513"/>
      <c r="AOP13" s="513"/>
      <c r="AOQ13" s="513"/>
      <c r="AOR13" s="513"/>
      <c r="AOS13" s="513"/>
      <c r="AOT13" s="513"/>
      <c r="AOU13" s="513"/>
      <c r="AOV13" s="513"/>
      <c r="AOW13" s="513"/>
      <c r="AOX13" s="513"/>
      <c r="AOY13" s="513"/>
      <c r="AOZ13" s="513"/>
      <c r="APA13" s="513"/>
      <c r="APB13" s="513"/>
      <c r="APC13" s="513"/>
      <c r="APD13" s="513"/>
      <c r="APE13" s="513"/>
      <c r="APF13" s="513"/>
      <c r="APG13" s="513"/>
      <c r="APH13" s="513"/>
      <c r="API13" s="513"/>
      <c r="APJ13" s="513"/>
      <c r="APK13" s="513"/>
      <c r="APL13" s="513"/>
      <c r="APM13" s="513"/>
      <c r="APN13" s="513"/>
      <c r="APO13" s="513"/>
      <c r="APP13" s="513"/>
      <c r="APQ13" s="513"/>
      <c r="APR13" s="513"/>
      <c r="APS13" s="513"/>
      <c r="APT13" s="513"/>
      <c r="APU13" s="513"/>
      <c r="APV13" s="513"/>
      <c r="APW13" s="513"/>
      <c r="APX13" s="513"/>
      <c r="APY13" s="513"/>
      <c r="APZ13" s="513"/>
      <c r="AQA13" s="513"/>
      <c r="AQB13" s="513"/>
      <c r="AQC13" s="513"/>
      <c r="AQD13" s="513"/>
      <c r="AQE13" s="513"/>
      <c r="AQF13" s="513"/>
      <c r="AQG13" s="513"/>
      <c r="AQH13" s="513"/>
      <c r="AQI13" s="513"/>
      <c r="AQJ13" s="513"/>
      <c r="AQK13" s="513"/>
      <c r="AQL13" s="513"/>
      <c r="AQM13" s="513"/>
      <c r="AQN13" s="513"/>
      <c r="AQO13" s="513"/>
      <c r="AQP13" s="513"/>
      <c r="AQQ13" s="513"/>
      <c r="AQR13" s="513"/>
      <c r="AQS13" s="513"/>
      <c r="AQT13" s="513"/>
      <c r="AQU13" s="513"/>
      <c r="AQV13" s="513"/>
      <c r="AQW13" s="513"/>
      <c r="AQX13" s="513"/>
      <c r="AQY13" s="513"/>
      <c r="AQZ13" s="513"/>
      <c r="ARA13" s="513"/>
      <c r="ARB13" s="513"/>
      <c r="ARC13" s="513"/>
      <c r="ARD13" s="513"/>
      <c r="ARE13" s="513"/>
      <c r="ARF13" s="513"/>
      <c r="ARG13" s="513"/>
      <c r="ARH13" s="513"/>
      <c r="ARI13" s="513"/>
      <c r="ARJ13" s="513"/>
      <c r="ARK13" s="513"/>
      <c r="ARL13" s="513"/>
      <c r="ARM13" s="513"/>
      <c r="ARN13" s="513"/>
      <c r="ARO13" s="513"/>
      <c r="ARP13" s="513"/>
      <c r="ARQ13" s="513"/>
      <c r="ARR13" s="513"/>
      <c r="ARS13" s="513"/>
      <c r="ART13" s="513"/>
      <c r="ARU13" s="513"/>
      <c r="ARV13" s="513"/>
      <c r="ARW13" s="513"/>
      <c r="ARX13" s="513"/>
      <c r="ARY13" s="513"/>
      <c r="ARZ13" s="513"/>
      <c r="ASA13" s="513"/>
      <c r="ASB13" s="513"/>
      <c r="ASC13" s="513"/>
      <c r="ASD13" s="513"/>
      <c r="ASE13" s="513"/>
      <c r="ASF13" s="513"/>
      <c r="ASG13" s="513"/>
      <c r="ASH13" s="513"/>
      <c r="ASI13" s="513"/>
      <c r="ASJ13" s="513"/>
      <c r="ASK13" s="513"/>
      <c r="ASL13" s="513"/>
      <c r="ASM13" s="513"/>
      <c r="ASN13" s="513"/>
      <c r="ASO13" s="513"/>
      <c r="ASP13" s="513"/>
      <c r="ASQ13" s="513"/>
      <c r="ASR13" s="513"/>
      <c r="ASS13" s="513"/>
      <c r="AST13" s="513"/>
      <c r="ASU13" s="513"/>
      <c r="ASV13" s="513"/>
      <c r="ASW13" s="513"/>
      <c r="ASX13" s="513"/>
      <c r="ASY13" s="513"/>
      <c r="ASZ13" s="513"/>
      <c r="ATA13" s="513"/>
      <c r="ATB13" s="513"/>
      <c r="ATC13" s="513"/>
      <c r="ATD13" s="513"/>
      <c r="ATE13" s="513"/>
      <c r="ATF13" s="513"/>
      <c r="ATG13" s="513"/>
      <c r="ATH13" s="513"/>
      <c r="ATI13" s="513"/>
      <c r="ATJ13" s="513"/>
      <c r="ATK13" s="513"/>
      <c r="ATL13" s="513"/>
      <c r="ATM13" s="513"/>
      <c r="ATN13" s="513"/>
      <c r="ATO13" s="513"/>
      <c r="ATP13" s="513"/>
      <c r="ATQ13" s="513"/>
      <c r="ATR13" s="513"/>
      <c r="ATS13" s="513"/>
      <c r="ATT13" s="513"/>
      <c r="ATU13" s="513"/>
      <c r="ATV13" s="513"/>
      <c r="ATW13" s="513"/>
      <c r="ATX13" s="513"/>
      <c r="ATY13" s="513"/>
      <c r="ATZ13" s="513"/>
      <c r="AUA13" s="513"/>
      <c r="AUB13" s="513"/>
      <c r="AUC13" s="513"/>
      <c r="AUD13" s="513"/>
      <c r="AUE13" s="513"/>
      <c r="AUF13" s="513"/>
      <c r="AUG13" s="513"/>
      <c r="AUH13" s="513"/>
      <c r="AUI13" s="513"/>
      <c r="AUJ13" s="513"/>
      <c r="AUK13" s="513"/>
      <c r="AUL13" s="513"/>
      <c r="AUM13" s="513"/>
      <c r="AUN13" s="513"/>
      <c r="AUO13" s="513"/>
      <c r="AUP13" s="513"/>
      <c r="AUQ13" s="513"/>
      <c r="AUR13" s="513"/>
      <c r="AUS13" s="513"/>
      <c r="AUT13" s="513"/>
      <c r="AUU13" s="513"/>
      <c r="AUV13" s="513"/>
      <c r="AUW13" s="513"/>
      <c r="AUX13" s="513"/>
      <c r="AUY13" s="513"/>
      <c r="AUZ13" s="513"/>
      <c r="AVA13" s="513"/>
      <c r="AVB13" s="513"/>
      <c r="AVC13" s="513"/>
      <c r="AVD13" s="513"/>
      <c r="AVE13" s="513"/>
      <c r="AVF13" s="513"/>
      <c r="AVG13" s="513"/>
      <c r="AVH13" s="513"/>
      <c r="AVI13" s="513"/>
      <c r="AVJ13" s="513"/>
      <c r="AVK13" s="513"/>
      <c r="AVL13" s="513"/>
      <c r="AVM13" s="513"/>
      <c r="AVN13" s="513"/>
      <c r="AVO13" s="513"/>
      <c r="AVP13" s="513"/>
      <c r="AVQ13" s="513"/>
      <c r="AVR13" s="513"/>
      <c r="AVS13" s="513"/>
      <c r="AVT13" s="513"/>
      <c r="AVU13" s="513"/>
      <c r="AVV13" s="513"/>
      <c r="AVW13" s="513"/>
      <c r="AVX13" s="513"/>
      <c r="AVY13" s="513"/>
      <c r="AVZ13" s="513"/>
      <c r="AWA13" s="513"/>
      <c r="AWB13" s="513"/>
      <c r="AWC13" s="513"/>
      <c r="AWD13" s="513"/>
      <c r="AWE13" s="513"/>
      <c r="AWF13" s="513"/>
      <c r="AWG13" s="513"/>
      <c r="AWH13" s="513"/>
      <c r="AWI13" s="513"/>
      <c r="AWJ13" s="513"/>
      <c r="AWK13" s="513"/>
      <c r="AWL13" s="513"/>
      <c r="AWM13" s="513"/>
      <c r="AWN13" s="513"/>
      <c r="AWO13" s="513"/>
      <c r="AWP13" s="513"/>
      <c r="AWQ13" s="513"/>
      <c r="AWR13" s="513"/>
      <c r="AWS13" s="513"/>
      <c r="AWT13" s="513"/>
      <c r="AWU13" s="513"/>
      <c r="AWV13" s="513"/>
      <c r="AWW13" s="513"/>
      <c r="AWX13" s="513"/>
      <c r="AWY13" s="513"/>
      <c r="AWZ13" s="513"/>
      <c r="AXA13" s="513"/>
      <c r="AXB13" s="513"/>
      <c r="AXC13" s="513"/>
      <c r="AXD13" s="513"/>
      <c r="AXE13" s="513"/>
      <c r="AXF13" s="513"/>
      <c r="AXG13" s="513"/>
      <c r="AXH13" s="513"/>
      <c r="AXI13" s="513"/>
      <c r="AXJ13" s="513"/>
      <c r="AXK13" s="513"/>
      <c r="AXL13" s="513"/>
      <c r="AXM13" s="513"/>
      <c r="AXN13" s="513"/>
      <c r="AXO13" s="513"/>
      <c r="AXP13" s="513"/>
      <c r="AXQ13" s="513"/>
      <c r="AXR13" s="513"/>
      <c r="AXS13" s="513"/>
      <c r="AXT13" s="513"/>
      <c r="AXU13" s="513"/>
      <c r="AXV13" s="513"/>
      <c r="AXW13" s="513"/>
      <c r="AXX13" s="513"/>
      <c r="AXY13" s="513"/>
      <c r="AXZ13" s="513"/>
      <c r="AYA13" s="513"/>
      <c r="AYB13" s="513"/>
      <c r="AYC13" s="513"/>
      <c r="AYD13" s="513"/>
      <c r="AYE13" s="513"/>
      <c r="AYF13" s="513"/>
      <c r="AYG13" s="513"/>
      <c r="AYH13" s="513"/>
      <c r="AYI13" s="513"/>
      <c r="AYJ13" s="513"/>
      <c r="AYK13" s="513"/>
      <c r="AYL13" s="513"/>
      <c r="AYM13" s="513"/>
      <c r="AYN13" s="513"/>
      <c r="AYO13" s="513"/>
      <c r="AYP13" s="513"/>
      <c r="AYQ13" s="513"/>
      <c r="AYR13" s="513"/>
      <c r="AYS13" s="513"/>
      <c r="AYT13" s="513"/>
      <c r="AYU13" s="513"/>
      <c r="AYV13" s="513"/>
      <c r="AYW13" s="513"/>
      <c r="AYX13" s="513"/>
      <c r="AYY13" s="513"/>
      <c r="AYZ13" s="513"/>
      <c r="AZA13" s="513"/>
      <c r="AZB13" s="513"/>
      <c r="AZC13" s="513"/>
      <c r="AZD13" s="513"/>
      <c r="AZE13" s="513"/>
      <c r="AZF13" s="513"/>
      <c r="AZG13" s="513"/>
      <c r="AZH13" s="513"/>
      <c r="AZI13" s="513"/>
      <c r="AZJ13" s="513"/>
      <c r="AZK13" s="513"/>
      <c r="AZL13" s="513"/>
      <c r="AZM13" s="513"/>
      <c r="AZN13" s="513"/>
      <c r="AZO13" s="513"/>
      <c r="AZP13" s="513"/>
      <c r="AZQ13" s="513"/>
      <c r="AZR13" s="513"/>
      <c r="AZS13" s="513"/>
      <c r="AZT13" s="513"/>
      <c r="AZU13" s="513"/>
      <c r="AZV13" s="513"/>
      <c r="AZW13" s="513"/>
      <c r="AZX13" s="513"/>
      <c r="AZY13" s="513"/>
      <c r="AZZ13" s="513"/>
      <c r="BAA13" s="513"/>
      <c r="BAB13" s="513"/>
      <c r="BAC13" s="513"/>
      <c r="BAD13" s="513"/>
      <c r="BAE13" s="513"/>
      <c r="BAF13" s="513"/>
      <c r="BAG13" s="513"/>
      <c r="BAH13" s="513"/>
      <c r="BAI13" s="513"/>
      <c r="BAJ13" s="513"/>
      <c r="BAK13" s="513"/>
      <c r="BAL13" s="513"/>
      <c r="BAM13" s="513"/>
      <c r="BAN13" s="513"/>
      <c r="BAO13" s="513"/>
      <c r="BAP13" s="513"/>
      <c r="BAQ13" s="513"/>
      <c r="BAR13" s="513"/>
      <c r="BAS13" s="513"/>
      <c r="BAT13" s="513"/>
      <c r="BAU13" s="513"/>
      <c r="BAV13" s="513"/>
      <c r="BAW13" s="513"/>
      <c r="BAX13" s="513"/>
      <c r="BAY13" s="513"/>
      <c r="BAZ13" s="513"/>
      <c r="BBA13" s="513"/>
      <c r="BBB13" s="513"/>
      <c r="BBC13" s="513"/>
      <c r="BBD13" s="513"/>
      <c r="BBE13" s="513"/>
      <c r="BBF13" s="513"/>
      <c r="BBG13" s="513"/>
      <c r="BBH13" s="513"/>
      <c r="BBI13" s="513"/>
      <c r="BBJ13" s="513"/>
      <c r="BBK13" s="513"/>
      <c r="BBL13" s="513"/>
      <c r="BBM13" s="513"/>
      <c r="BBN13" s="513"/>
      <c r="BBO13" s="513"/>
      <c r="BBP13" s="513"/>
      <c r="BBQ13" s="513"/>
      <c r="BBR13" s="513"/>
      <c r="BBS13" s="513"/>
      <c r="BBT13" s="513"/>
      <c r="BBU13" s="513"/>
      <c r="BBV13" s="513"/>
      <c r="BBW13" s="513"/>
      <c r="BBX13" s="513"/>
      <c r="BBY13" s="513"/>
      <c r="BBZ13" s="513"/>
      <c r="BCA13" s="513"/>
      <c r="BCB13" s="513"/>
      <c r="BCC13" s="513"/>
      <c r="BCD13" s="513"/>
      <c r="BCE13" s="513"/>
      <c r="BCF13" s="513"/>
      <c r="BCG13" s="513"/>
      <c r="BCH13" s="513"/>
      <c r="BCI13" s="513"/>
      <c r="BCJ13" s="513"/>
      <c r="BCK13" s="513"/>
      <c r="BCL13" s="513"/>
      <c r="BCM13" s="513"/>
      <c r="BCN13" s="513"/>
      <c r="BCO13" s="513"/>
      <c r="BCP13" s="513"/>
      <c r="BCQ13" s="513"/>
      <c r="BCR13" s="513"/>
      <c r="BCS13" s="513"/>
      <c r="BCT13" s="513"/>
      <c r="BCU13" s="513"/>
      <c r="BCV13" s="513"/>
      <c r="BCW13" s="513"/>
      <c r="BCX13" s="513"/>
      <c r="BCY13" s="513"/>
      <c r="BCZ13" s="513"/>
      <c r="BDA13" s="513"/>
      <c r="BDB13" s="513"/>
      <c r="BDC13" s="513"/>
      <c r="BDD13" s="513"/>
      <c r="BDE13" s="513"/>
      <c r="BDF13" s="513"/>
      <c r="BDG13" s="513"/>
      <c r="BDH13" s="513"/>
      <c r="BDI13" s="513"/>
      <c r="BDJ13" s="513"/>
      <c r="BDK13" s="513"/>
      <c r="BDL13" s="513"/>
      <c r="BDM13" s="513"/>
      <c r="BDN13" s="513"/>
      <c r="BDO13" s="513"/>
      <c r="BDP13" s="513"/>
      <c r="BDQ13" s="513"/>
      <c r="BDR13" s="513"/>
      <c r="BDS13" s="513"/>
      <c r="BDT13" s="513"/>
      <c r="BDU13" s="513"/>
      <c r="BDV13" s="513"/>
      <c r="BDW13" s="513"/>
      <c r="BDX13" s="513"/>
      <c r="BDY13" s="513"/>
      <c r="BDZ13" s="513"/>
      <c r="BEA13" s="513"/>
      <c r="BEB13" s="513"/>
      <c r="BEC13" s="513"/>
      <c r="BED13" s="513"/>
      <c r="BEE13" s="513"/>
      <c r="BEF13" s="513"/>
      <c r="BEG13" s="513"/>
      <c r="BEH13" s="513"/>
      <c r="BEI13" s="513"/>
      <c r="BEJ13" s="513"/>
      <c r="BEK13" s="513"/>
      <c r="BEL13" s="513"/>
      <c r="BEM13" s="513"/>
      <c r="BEN13" s="513"/>
      <c r="BEO13" s="513"/>
      <c r="BEP13" s="513"/>
      <c r="BEQ13" s="513"/>
      <c r="BER13" s="513"/>
      <c r="BES13" s="513"/>
      <c r="BET13" s="513"/>
      <c r="BEU13" s="513"/>
      <c r="BEV13" s="513"/>
      <c r="BEW13" s="513"/>
      <c r="BEX13" s="513"/>
      <c r="BEY13" s="513"/>
      <c r="BEZ13" s="513"/>
      <c r="BFA13" s="513"/>
      <c r="BFB13" s="513"/>
      <c r="BFC13" s="513"/>
      <c r="BFD13" s="513"/>
      <c r="BFE13" s="513"/>
      <c r="BFF13" s="513"/>
      <c r="BFG13" s="513"/>
      <c r="BFH13" s="513"/>
      <c r="BFI13" s="513"/>
      <c r="BFJ13" s="513"/>
      <c r="BFK13" s="513"/>
      <c r="BFL13" s="513"/>
      <c r="BFM13" s="513"/>
      <c r="BFN13" s="513"/>
      <c r="BFO13" s="513"/>
      <c r="BFP13" s="513"/>
      <c r="BFQ13" s="513"/>
      <c r="BFR13" s="513"/>
      <c r="BFS13" s="513"/>
      <c r="BFT13" s="513"/>
      <c r="BFU13" s="513"/>
      <c r="BFV13" s="513"/>
      <c r="BFW13" s="513"/>
      <c r="BFX13" s="513"/>
      <c r="BFY13" s="513"/>
      <c r="BFZ13" s="513"/>
      <c r="BGA13" s="513"/>
      <c r="BGB13" s="513"/>
      <c r="BGC13" s="513"/>
      <c r="BGD13" s="513"/>
      <c r="BGE13" s="513"/>
      <c r="BGF13" s="513"/>
      <c r="BGG13" s="513"/>
      <c r="BGH13" s="513"/>
      <c r="BGI13" s="513"/>
      <c r="BGJ13" s="513"/>
      <c r="BGK13" s="513"/>
      <c r="BGL13" s="513"/>
      <c r="BGM13" s="513"/>
      <c r="BGN13" s="513"/>
      <c r="BGO13" s="513"/>
      <c r="BGP13" s="513"/>
      <c r="BGQ13" s="513"/>
      <c r="BGR13" s="513"/>
      <c r="BGS13" s="513"/>
      <c r="BGT13" s="513"/>
      <c r="BGU13" s="513"/>
      <c r="BGV13" s="513"/>
      <c r="BGW13" s="513"/>
      <c r="BGX13" s="513"/>
      <c r="BGY13" s="513"/>
      <c r="BGZ13" s="513"/>
      <c r="BHA13" s="513"/>
      <c r="BHB13" s="513"/>
      <c r="BHC13" s="513"/>
      <c r="BHD13" s="513"/>
      <c r="BHE13" s="513"/>
      <c r="BHF13" s="513"/>
      <c r="BHG13" s="513"/>
      <c r="BHH13" s="513"/>
      <c r="BHI13" s="513"/>
      <c r="BHJ13" s="513"/>
      <c r="BHK13" s="513"/>
      <c r="BHL13" s="513"/>
      <c r="BHM13" s="513"/>
      <c r="BHN13" s="513"/>
      <c r="BHO13" s="513"/>
      <c r="BHP13" s="513"/>
      <c r="BHQ13" s="513"/>
      <c r="BHR13" s="513"/>
      <c r="BHS13" s="513"/>
      <c r="BHT13" s="513"/>
      <c r="BHU13" s="513"/>
      <c r="BHV13" s="513"/>
      <c r="BHW13" s="513"/>
      <c r="BHX13" s="513"/>
      <c r="BHY13" s="513"/>
      <c r="BHZ13" s="513"/>
      <c r="BIA13" s="513"/>
      <c r="BIB13" s="513"/>
      <c r="BIC13" s="513"/>
      <c r="BID13" s="513"/>
      <c r="BIE13" s="513"/>
      <c r="BIF13" s="513"/>
      <c r="BIG13" s="513"/>
      <c r="BIH13" s="513"/>
      <c r="BII13" s="513"/>
      <c r="BIJ13" s="513"/>
      <c r="BIK13" s="513"/>
      <c r="BIL13" s="513"/>
      <c r="BIM13" s="513"/>
      <c r="BIN13" s="513"/>
      <c r="BIO13" s="513"/>
      <c r="BIP13" s="513"/>
      <c r="BIQ13" s="513"/>
      <c r="BIR13" s="513"/>
      <c r="BIS13" s="513"/>
      <c r="BIT13" s="513"/>
      <c r="BIU13" s="513"/>
      <c r="BIV13" s="513"/>
      <c r="BIW13" s="513"/>
      <c r="BIX13" s="513"/>
      <c r="BIY13" s="513"/>
      <c r="BIZ13" s="513"/>
      <c r="BJA13" s="513"/>
      <c r="BJB13" s="513"/>
      <c r="BJC13" s="513"/>
      <c r="BJD13" s="513"/>
      <c r="BJE13" s="513"/>
      <c r="BJF13" s="513"/>
      <c r="BJG13" s="513"/>
      <c r="BJH13" s="513"/>
      <c r="BJI13" s="513"/>
      <c r="BJJ13" s="513"/>
      <c r="BJK13" s="513"/>
      <c r="BJL13" s="513"/>
      <c r="BJM13" s="513"/>
      <c r="BJN13" s="513"/>
      <c r="BJO13" s="513"/>
      <c r="BJP13" s="513"/>
      <c r="BJQ13" s="513"/>
      <c r="BJR13" s="513"/>
      <c r="BJS13" s="513"/>
      <c r="BJT13" s="513"/>
      <c r="BJU13" s="513"/>
      <c r="BJV13" s="513"/>
      <c r="BJW13" s="513"/>
      <c r="BJX13" s="513"/>
      <c r="BJY13" s="513"/>
      <c r="BJZ13" s="513"/>
      <c r="BKA13" s="513"/>
      <c r="BKB13" s="513"/>
      <c r="BKC13" s="513"/>
      <c r="BKD13" s="513"/>
      <c r="BKE13" s="513"/>
      <c r="BKF13" s="513"/>
      <c r="BKG13" s="513"/>
      <c r="BKH13" s="513"/>
      <c r="BKI13" s="513"/>
      <c r="BKJ13" s="513"/>
      <c r="BKK13" s="513"/>
      <c r="BKL13" s="513"/>
      <c r="BKM13" s="513"/>
      <c r="BKN13" s="513"/>
      <c r="BKO13" s="513"/>
      <c r="BKP13" s="513"/>
      <c r="BKQ13" s="513"/>
      <c r="BKR13" s="513"/>
      <c r="BKS13" s="513"/>
      <c r="BKT13" s="513"/>
      <c r="BKU13" s="513"/>
      <c r="BKV13" s="513"/>
      <c r="BKW13" s="513"/>
      <c r="BKX13" s="513"/>
      <c r="BKY13" s="513"/>
      <c r="BKZ13" s="513"/>
      <c r="BLA13" s="513"/>
      <c r="BLB13" s="513"/>
      <c r="BLC13" s="513"/>
      <c r="BLD13" s="513"/>
      <c r="BLE13" s="513"/>
      <c r="BLF13" s="513"/>
      <c r="BLG13" s="513"/>
      <c r="BLH13" s="513"/>
      <c r="BLI13" s="513"/>
      <c r="BLJ13" s="513"/>
      <c r="BLK13" s="513"/>
      <c r="BLL13" s="513"/>
      <c r="BLM13" s="513"/>
      <c r="BLN13" s="513"/>
      <c r="BLO13" s="513"/>
      <c r="BLP13" s="513"/>
      <c r="BLQ13" s="513"/>
      <c r="BLR13" s="513"/>
      <c r="BLS13" s="513"/>
      <c r="BLT13" s="513"/>
      <c r="BLU13" s="513"/>
      <c r="BLV13" s="513"/>
      <c r="BLW13" s="513"/>
      <c r="BLX13" s="513"/>
      <c r="BLY13" s="513"/>
      <c r="BLZ13" s="513"/>
      <c r="BMA13" s="513"/>
      <c r="BMB13" s="513"/>
      <c r="BMC13" s="513"/>
      <c r="BMD13" s="513"/>
      <c r="BME13" s="513"/>
      <c r="BMF13" s="513"/>
      <c r="BMG13" s="513"/>
      <c r="BMH13" s="513"/>
      <c r="BMI13" s="513"/>
      <c r="BMJ13" s="513"/>
      <c r="BMK13" s="513"/>
      <c r="BML13" s="513"/>
      <c r="BMM13" s="513"/>
      <c r="BMN13" s="513"/>
      <c r="BMO13" s="513"/>
      <c r="BMP13" s="513"/>
      <c r="BMQ13" s="513"/>
      <c r="BMR13" s="513"/>
      <c r="BMS13" s="513"/>
      <c r="BMT13" s="513"/>
      <c r="BMU13" s="513"/>
      <c r="BMV13" s="513"/>
      <c r="BMW13" s="513"/>
      <c r="BMX13" s="513"/>
      <c r="BMY13" s="513"/>
      <c r="BMZ13" s="513"/>
      <c r="BNA13" s="513"/>
      <c r="BNB13" s="513"/>
      <c r="BNC13" s="513"/>
      <c r="BND13" s="513"/>
      <c r="BNE13" s="513"/>
      <c r="BNF13" s="513"/>
      <c r="BNG13" s="513"/>
      <c r="BNH13" s="513"/>
      <c r="BNI13" s="513"/>
      <c r="BNJ13" s="513"/>
      <c r="BNK13" s="513"/>
      <c r="BNL13" s="513"/>
      <c r="BNM13" s="513"/>
      <c r="BNN13" s="513"/>
      <c r="BNO13" s="513"/>
      <c r="BNP13" s="513"/>
      <c r="BNQ13" s="513"/>
      <c r="BNR13" s="513"/>
      <c r="BNS13" s="513"/>
      <c r="BNT13" s="513"/>
      <c r="BNU13" s="513"/>
      <c r="BNV13" s="513"/>
      <c r="BNW13" s="513"/>
      <c r="BNX13" s="513"/>
      <c r="BNY13" s="513"/>
      <c r="BNZ13" s="513"/>
      <c r="BOA13" s="513"/>
      <c r="BOB13" s="513"/>
      <c r="BOC13" s="513"/>
      <c r="BOD13" s="513"/>
      <c r="BOE13" s="513"/>
      <c r="BOF13" s="513"/>
      <c r="BOG13" s="513"/>
      <c r="BOH13" s="513"/>
      <c r="BOI13" s="513"/>
      <c r="BOJ13" s="513"/>
      <c r="BOK13" s="513"/>
      <c r="BOL13" s="513"/>
      <c r="BOM13" s="513"/>
      <c r="BON13" s="513"/>
      <c r="BOO13" s="513"/>
      <c r="BOP13" s="513"/>
      <c r="BOQ13" s="513"/>
      <c r="BOR13" s="513"/>
      <c r="BOS13" s="513"/>
      <c r="BOT13" s="513"/>
      <c r="BOU13" s="513"/>
      <c r="BOV13" s="513"/>
      <c r="BOW13" s="513"/>
      <c r="BOX13" s="513"/>
      <c r="BOY13" s="513"/>
      <c r="BOZ13" s="513"/>
      <c r="BPA13" s="513"/>
      <c r="BPB13" s="513"/>
      <c r="BPC13" s="513"/>
      <c r="BPD13" s="513"/>
      <c r="BPE13" s="513"/>
      <c r="BPF13" s="513"/>
      <c r="BPG13" s="513"/>
      <c r="BPH13" s="513"/>
      <c r="BPI13" s="513"/>
      <c r="BPJ13" s="513"/>
      <c r="BPK13" s="513"/>
      <c r="BPL13" s="513"/>
      <c r="BPM13" s="513"/>
      <c r="BPN13" s="513"/>
      <c r="BPO13" s="513"/>
      <c r="BPP13" s="513"/>
      <c r="BPQ13" s="513"/>
      <c r="BPR13" s="513"/>
      <c r="BPS13" s="513"/>
      <c r="BPT13" s="513"/>
      <c r="BPU13" s="513"/>
      <c r="BPV13" s="513"/>
      <c r="BPW13" s="513"/>
      <c r="BPX13" s="513"/>
      <c r="BPY13" s="513"/>
      <c r="BPZ13" s="513"/>
      <c r="BQA13" s="513"/>
      <c r="BQB13" s="513"/>
      <c r="BQC13" s="513"/>
      <c r="BQD13" s="513"/>
      <c r="BQE13" s="513"/>
      <c r="BQF13" s="513"/>
      <c r="BQG13" s="513"/>
      <c r="BQH13" s="513"/>
      <c r="BQI13" s="513"/>
      <c r="BQJ13" s="513"/>
      <c r="BQK13" s="513"/>
      <c r="BQL13" s="513"/>
      <c r="BQM13" s="513"/>
      <c r="BQN13" s="513"/>
      <c r="BQO13" s="513"/>
      <c r="BQP13" s="513"/>
      <c r="BQQ13" s="513"/>
      <c r="BQR13" s="513"/>
      <c r="BQS13" s="513"/>
      <c r="BQT13" s="513"/>
      <c r="BQU13" s="513"/>
      <c r="BQV13" s="513"/>
      <c r="BQW13" s="513"/>
      <c r="BQX13" s="513"/>
      <c r="BQY13" s="513"/>
      <c r="BQZ13" s="513"/>
      <c r="BRA13" s="513"/>
      <c r="BRB13" s="513"/>
      <c r="BRC13" s="513"/>
      <c r="BRD13" s="513"/>
      <c r="BRE13" s="513"/>
      <c r="BRF13" s="513"/>
      <c r="BRG13" s="513"/>
      <c r="BRH13" s="513"/>
      <c r="BRI13" s="513"/>
      <c r="BRJ13" s="513"/>
      <c r="BRK13" s="513"/>
      <c r="BRL13" s="513"/>
      <c r="BRM13" s="513"/>
      <c r="BRN13" s="513"/>
      <c r="BRO13" s="513"/>
      <c r="BRP13" s="513"/>
      <c r="BRQ13" s="513"/>
      <c r="BRR13" s="513"/>
      <c r="BRS13" s="513"/>
      <c r="BRT13" s="513"/>
      <c r="BRU13" s="513"/>
      <c r="BRV13" s="513"/>
      <c r="BRW13" s="513"/>
      <c r="BRX13" s="513"/>
      <c r="BRY13" s="513"/>
      <c r="BRZ13" s="513"/>
      <c r="BSA13" s="513"/>
      <c r="BSB13" s="513"/>
      <c r="BSC13" s="513"/>
      <c r="BSD13" s="513"/>
      <c r="BSE13" s="513"/>
      <c r="BSF13" s="513"/>
      <c r="BSG13" s="513"/>
      <c r="BSH13" s="513"/>
      <c r="BSI13" s="513"/>
      <c r="BSJ13" s="513"/>
      <c r="BSK13" s="513"/>
      <c r="BSL13" s="513"/>
      <c r="BSM13" s="513"/>
      <c r="BSN13" s="513"/>
      <c r="BSO13" s="513"/>
      <c r="BSP13" s="513"/>
      <c r="BSQ13" s="513"/>
      <c r="BSR13" s="513"/>
      <c r="BSS13" s="513"/>
      <c r="BST13" s="513"/>
      <c r="BSU13" s="513"/>
      <c r="BSV13" s="513"/>
      <c r="BSW13" s="513"/>
      <c r="BSX13" s="513"/>
      <c r="BSY13" s="513"/>
      <c r="BSZ13" s="513"/>
      <c r="BTA13" s="513"/>
      <c r="BTB13" s="513"/>
      <c r="BTC13" s="513"/>
      <c r="BTD13" s="513"/>
      <c r="BTE13" s="513"/>
      <c r="BTF13" s="513"/>
      <c r="BTG13" s="513"/>
      <c r="BTH13" s="513"/>
      <c r="BTI13" s="513"/>
      <c r="BTJ13" s="513"/>
      <c r="BTK13" s="513"/>
      <c r="BTL13" s="513"/>
      <c r="BTM13" s="513"/>
      <c r="BTN13" s="513"/>
      <c r="BTO13" s="513"/>
      <c r="BTP13" s="513"/>
      <c r="BTQ13" s="513"/>
      <c r="BTR13" s="513"/>
      <c r="BTS13" s="513"/>
      <c r="BTT13" s="513"/>
      <c r="BTU13" s="513"/>
      <c r="BTV13" s="513"/>
      <c r="BTW13" s="513"/>
      <c r="BTX13" s="513"/>
      <c r="BTY13" s="513"/>
      <c r="BTZ13" s="513"/>
      <c r="BUA13" s="513"/>
      <c r="BUB13" s="513"/>
      <c r="BUC13" s="513"/>
      <c r="BUD13" s="513"/>
      <c r="BUE13" s="513"/>
      <c r="BUF13" s="513"/>
      <c r="BUG13" s="513"/>
      <c r="BUH13" s="513"/>
      <c r="BUI13" s="513"/>
      <c r="BUJ13" s="513"/>
      <c r="BUK13" s="513"/>
      <c r="BUL13" s="513"/>
      <c r="BUM13" s="513"/>
      <c r="BUN13" s="513"/>
      <c r="BUO13" s="513"/>
      <c r="BUP13" s="513"/>
      <c r="BUQ13" s="513"/>
      <c r="BUR13" s="513"/>
      <c r="BUS13" s="513"/>
      <c r="BUT13" s="513"/>
      <c r="BUU13" s="513"/>
      <c r="BUV13" s="513"/>
      <c r="BUW13" s="513"/>
      <c r="BUX13" s="513"/>
      <c r="BUY13" s="513"/>
      <c r="BUZ13" s="513"/>
      <c r="BVA13" s="513"/>
      <c r="BVB13" s="513"/>
      <c r="BVC13" s="513"/>
      <c r="BVD13" s="513"/>
      <c r="BVE13" s="513"/>
      <c r="BVF13" s="513"/>
      <c r="BVG13" s="513"/>
      <c r="BVH13" s="513"/>
      <c r="BVI13" s="513"/>
      <c r="BVJ13" s="513"/>
      <c r="BVK13" s="513"/>
      <c r="BVL13" s="513"/>
      <c r="BVM13" s="513"/>
      <c r="BVN13" s="513"/>
      <c r="BVO13" s="513"/>
      <c r="BVP13" s="513"/>
      <c r="BVQ13" s="513"/>
      <c r="BVR13" s="513"/>
      <c r="BVS13" s="513"/>
      <c r="BVT13" s="513"/>
      <c r="BVU13" s="513"/>
      <c r="BVV13" s="513"/>
      <c r="BVW13" s="513"/>
      <c r="BVX13" s="513"/>
      <c r="BVY13" s="513"/>
      <c r="BVZ13" s="513"/>
      <c r="BWA13" s="513"/>
      <c r="BWB13" s="513"/>
      <c r="BWC13" s="513"/>
      <c r="BWD13" s="513"/>
      <c r="BWE13" s="513"/>
      <c r="BWF13" s="513"/>
      <c r="BWG13" s="513"/>
      <c r="BWH13" s="513"/>
      <c r="BWI13" s="513"/>
      <c r="BWJ13" s="513"/>
      <c r="BWK13" s="513"/>
      <c r="BWL13" s="513"/>
      <c r="BWM13" s="513"/>
      <c r="BWN13" s="513"/>
      <c r="BWO13" s="513"/>
      <c r="BWP13" s="513"/>
      <c r="BWQ13" s="513"/>
      <c r="BWR13" s="513"/>
      <c r="BWS13" s="513"/>
      <c r="BWT13" s="513"/>
      <c r="BWU13" s="513"/>
      <c r="BWV13" s="513"/>
      <c r="BWW13" s="513"/>
      <c r="BWX13" s="513"/>
      <c r="BWY13" s="513"/>
      <c r="BWZ13" s="513"/>
      <c r="BXA13" s="513"/>
      <c r="BXB13" s="513"/>
      <c r="BXC13" s="513"/>
      <c r="BXD13" s="513"/>
      <c r="BXE13" s="513"/>
      <c r="BXF13" s="513"/>
      <c r="BXG13" s="513"/>
      <c r="BXH13" s="513"/>
      <c r="BXI13" s="513"/>
      <c r="BXJ13" s="513"/>
      <c r="BXK13" s="513"/>
      <c r="BXL13" s="513"/>
      <c r="BXM13" s="513"/>
      <c r="BXN13" s="513"/>
      <c r="BXO13" s="513"/>
      <c r="BXP13" s="513"/>
      <c r="BXQ13" s="513"/>
      <c r="BXR13" s="513"/>
      <c r="BXS13" s="513"/>
      <c r="BXT13" s="513"/>
      <c r="BXU13" s="513"/>
      <c r="BXV13" s="513"/>
      <c r="BXW13" s="513"/>
      <c r="BXX13" s="513"/>
      <c r="BXY13" s="513"/>
      <c r="BXZ13" s="513"/>
      <c r="BYA13" s="513"/>
      <c r="BYB13" s="513"/>
      <c r="BYC13" s="513"/>
      <c r="BYD13" s="513"/>
      <c r="BYE13" s="513"/>
      <c r="BYF13" s="513"/>
      <c r="BYG13" s="513"/>
      <c r="BYH13" s="513"/>
      <c r="BYI13" s="513"/>
      <c r="BYJ13" s="513"/>
      <c r="BYK13" s="513"/>
      <c r="BYL13" s="513"/>
      <c r="BYM13" s="513"/>
      <c r="BYN13" s="513"/>
      <c r="BYO13" s="513"/>
      <c r="BYP13" s="513"/>
      <c r="BYQ13" s="513"/>
      <c r="BYR13" s="513"/>
      <c r="BYS13" s="513"/>
      <c r="BYT13" s="513"/>
      <c r="BYU13" s="513"/>
      <c r="BYV13" s="513"/>
      <c r="BYW13" s="513"/>
      <c r="BYX13" s="513"/>
      <c r="BYY13" s="513"/>
      <c r="BYZ13" s="513"/>
      <c r="BZA13" s="513"/>
      <c r="BZB13" s="513"/>
      <c r="BZC13" s="513"/>
      <c r="BZD13" s="513"/>
      <c r="BZE13" s="513"/>
      <c r="BZF13" s="513"/>
      <c r="BZG13" s="513"/>
      <c r="BZH13" s="513"/>
      <c r="BZI13" s="513"/>
      <c r="BZJ13" s="513"/>
      <c r="BZK13" s="513"/>
      <c r="BZL13" s="513"/>
      <c r="BZM13" s="513"/>
      <c r="BZN13" s="513"/>
      <c r="BZO13" s="513"/>
      <c r="BZP13" s="513"/>
      <c r="BZQ13" s="513"/>
      <c r="BZR13" s="513"/>
      <c r="BZS13" s="513"/>
      <c r="BZT13" s="513"/>
      <c r="BZU13" s="513"/>
      <c r="BZV13" s="513"/>
      <c r="BZW13" s="513"/>
      <c r="BZX13" s="513"/>
      <c r="BZY13" s="513"/>
      <c r="BZZ13" s="513"/>
      <c r="CAA13" s="513"/>
      <c r="CAB13" s="513"/>
      <c r="CAC13" s="513"/>
      <c r="CAD13" s="513"/>
      <c r="CAE13" s="513"/>
      <c r="CAF13" s="513"/>
      <c r="CAG13" s="513"/>
      <c r="CAH13" s="513"/>
      <c r="CAI13" s="513"/>
      <c r="CAJ13" s="513"/>
      <c r="CAK13" s="513"/>
      <c r="CAL13" s="513"/>
      <c r="CAM13" s="513"/>
      <c r="CAN13" s="513"/>
      <c r="CAO13" s="513"/>
      <c r="CAP13" s="513"/>
      <c r="CAQ13" s="513"/>
      <c r="CAR13" s="513"/>
      <c r="CAS13" s="513"/>
      <c r="CAT13" s="513"/>
      <c r="CAU13" s="513"/>
      <c r="CAV13" s="513"/>
      <c r="CAW13" s="513"/>
      <c r="CAX13" s="513"/>
      <c r="CAY13" s="513"/>
      <c r="CAZ13" s="513"/>
      <c r="CBA13" s="513"/>
      <c r="CBB13" s="513"/>
      <c r="CBC13" s="513"/>
      <c r="CBD13" s="513"/>
      <c r="CBE13" s="513"/>
      <c r="CBF13" s="513"/>
      <c r="CBG13" s="513"/>
      <c r="CBH13" s="513"/>
      <c r="CBI13" s="513"/>
      <c r="CBJ13" s="513"/>
      <c r="CBK13" s="513"/>
      <c r="CBL13" s="513"/>
      <c r="CBM13" s="513"/>
      <c r="CBN13" s="513"/>
      <c r="CBO13" s="513"/>
      <c r="CBP13" s="513"/>
      <c r="CBQ13" s="513"/>
      <c r="CBR13" s="513"/>
      <c r="CBS13" s="513"/>
      <c r="CBT13" s="513"/>
      <c r="CBU13" s="513"/>
      <c r="CBV13" s="513"/>
      <c r="CBW13" s="513"/>
      <c r="CBX13" s="513"/>
      <c r="CBY13" s="513"/>
      <c r="CBZ13" s="513"/>
      <c r="CCA13" s="513"/>
      <c r="CCB13" s="513"/>
      <c r="CCC13" s="513"/>
      <c r="CCD13" s="513"/>
      <c r="CCE13" s="513"/>
      <c r="CCF13" s="513"/>
      <c r="CCG13" s="513"/>
      <c r="CCH13" s="513"/>
      <c r="CCI13" s="513"/>
      <c r="CCJ13" s="513"/>
      <c r="CCK13" s="513"/>
      <c r="CCL13" s="513"/>
      <c r="CCM13" s="513"/>
      <c r="CCN13" s="513"/>
      <c r="CCO13" s="513"/>
      <c r="CCP13" s="513"/>
      <c r="CCQ13" s="513"/>
      <c r="CCR13" s="513"/>
      <c r="CCS13" s="513"/>
      <c r="CCT13" s="513"/>
      <c r="CCU13" s="513"/>
      <c r="CCV13" s="513"/>
      <c r="CCW13" s="513"/>
      <c r="CCX13" s="513"/>
      <c r="CCY13" s="513"/>
      <c r="CCZ13" s="513"/>
      <c r="CDA13" s="513"/>
      <c r="CDB13" s="513"/>
      <c r="CDC13" s="513"/>
      <c r="CDD13" s="513"/>
      <c r="CDE13" s="513"/>
      <c r="CDF13" s="513"/>
      <c r="CDG13" s="513"/>
      <c r="CDH13" s="513"/>
      <c r="CDI13" s="513"/>
      <c r="CDJ13" s="513"/>
      <c r="CDK13" s="513"/>
      <c r="CDL13" s="513"/>
      <c r="CDM13" s="513"/>
      <c r="CDN13" s="513"/>
      <c r="CDO13" s="513"/>
      <c r="CDP13" s="513"/>
      <c r="CDQ13" s="513"/>
      <c r="CDR13" s="513"/>
      <c r="CDS13" s="513"/>
      <c r="CDT13" s="513"/>
      <c r="CDU13" s="513"/>
      <c r="CDV13" s="513"/>
      <c r="CDW13" s="513"/>
      <c r="CDX13" s="513"/>
      <c r="CDY13" s="513"/>
      <c r="CDZ13" s="513"/>
      <c r="CEA13" s="513"/>
      <c r="CEB13" s="513"/>
      <c r="CEC13" s="513"/>
      <c r="CED13" s="513"/>
      <c r="CEE13" s="513"/>
      <c r="CEF13" s="513"/>
      <c r="CEG13" s="513"/>
      <c r="CEH13" s="513"/>
      <c r="CEI13" s="513"/>
      <c r="CEJ13" s="513"/>
      <c r="CEK13" s="513"/>
      <c r="CEL13" s="513"/>
      <c r="CEM13" s="513"/>
      <c r="CEN13" s="513"/>
      <c r="CEO13" s="513"/>
      <c r="CEP13" s="513"/>
      <c r="CEQ13" s="513"/>
      <c r="CER13" s="513"/>
      <c r="CES13" s="513"/>
      <c r="CET13" s="513"/>
      <c r="CEU13" s="513"/>
      <c r="CEV13" s="513"/>
      <c r="CEW13" s="513"/>
      <c r="CEX13" s="513"/>
      <c r="CEY13" s="513"/>
      <c r="CEZ13" s="513"/>
      <c r="CFA13" s="513"/>
      <c r="CFB13" s="513"/>
      <c r="CFC13" s="513"/>
      <c r="CFD13" s="513"/>
      <c r="CFE13" s="513"/>
      <c r="CFF13" s="513"/>
      <c r="CFG13" s="513"/>
      <c r="CFH13" s="513"/>
      <c r="CFI13" s="513"/>
      <c r="CFJ13" s="513"/>
      <c r="CFK13" s="513"/>
      <c r="CFL13" s="513"/>
      <c r="CFM13" s="513"/>
      <c r="CFN13" s="513"/>
      <c r="CFO13" s="513"/>
      <c r="CFP13" s="513"/>
      <c r="CFQ13" s="513"/>
      <c r="CFR13" s="513"/>
      <c r="CFS13" s="513"/>
      <c r="CFT13" s="513"/>
      <c r="CFU13" s="513"/>
      <c r="CFV13" s="513"/>
      <c r="CFW13" s="513"/>
      <c r="CFX13" s="513"/>
      <c r="CFY13" s="513"/>
      <c r="CFZ13" s="513"/>
      <c r="CGA13" s="513"/>
      <c r="CGB13" s="513"/>
      <c r="CGC13" s="513"/>
      <c r="CGD13" s="513"/>
      <c r="CGE13" s="513"/>
      <c r="CGF13" s="513"/>
      <c r="CGG13" s="513"/>
      <c r="CGH13" s="513"/>
      <c r="CGI13" s="513"/>
      <c r="CGJ13" s="513"/>
      <c r="CGK13" s="513"/>
      <c r="CGL13" s="513"/>
      <c r="CGM13" s="513"/>
      <c r="CGN13" s="513"/>
      <c r="CGO13" s="513"/>
      <c r="CGP13" s="513"/>
      <c r="CGQ13" s="513"/>
      <c r="CGR13" s="513"/>
      <c r="CGS13" s="513"/>
      <c r="CGT13" s="513"/>
      <c r="CGU13" s="513"/>
      <c r="CGV13" s="513"/>
      <c r="CGW13" s="513"/>
      <c r="CGX13" s="513"/>
      <c r="CGY13" s="513"/>
      <c r="CGZ13" s="513"/>
      <c r="CHA13" s="513"/>
      <c r="CHB13" s="513"/>
      <c r="CHC13" s="513"/>
      <c r="CHD13" s="513"/>
      <c r="CHE13" s="513"/>
      <c r="CHF13" s="513"/>
      <c r="CHG13" s="513"/>
      <c r="CHH13" s="513"/>
      <c r="CHI13" s="513"/>
      <c r="CHJ13" s="513"/>
      <c r="CHK13" s="513"/>
      <c r="CHL13" s="513"/>
      <c r="CHM13" s="513"/>
      <c r="CHN13" s="513"/>
      <c r="CHO13" s="513"/>
      <c r="CHP13" s="513"/>
      <c r="CHQ13" s="513"/>
      <c r="CHR13" s="513"/>
      <c r="CHS13" s="513"/>
      <c r="CHT13" s="513"/>
      <c r="CHU13" s="513"/>
      <c r="CHV13" s="513"/>
      <c r="CHW13" s="513"/>
      <c r="CHX13" s="513"/>
      <c r="CHY13" s="513"/>
      <c r="CHZ13" s="513"/>
      <c r="CIA13" s="513"/>
      <c r="CIB13" s="513"/>
      <c r="CIC13" s="513"/>
      <c r="CID13" s="513"/>
      <c r="CIE13" s="513"/>
      <c r="CIF13" s="513"/>
      <c r="CIG13" s="513"/>
      <c r="CIH13" s="513"/>
      <c r="CII13" s="513"/>
      <c r="CIJ13" s="513"/>
      <c r="CIK13" s="513"/>
      <c r="CIL13" s="513"/>
      <c r="CIM13" s="513"/>
      <c r="CIN13" s="513"/>
      <c r="CIO13" s="513"/>
      <c r="CIP13" s="513"/>
      <c r="CIQ13" s="513"/>
      <c r="CIR13" s="513"/>
      <c r="CIS13" s="513"/>
      <c r="CIT13" s="513"/>
      <c r="CIU13" s="513"/>
      <c r="CIV13" s="513"/>
      <c r="CIW13" s="513"/>
      <c r="CIX13" s="513"/>
      <c r="CIY13" s="513"/>
      <c r="CIZ13" s="513"/>
      <c r="CJA13" s="513"/>
      <c r="CJB13" s="513"/>
      <c r="CJC13" s="513"/>
      <c r="CJD13" s="513"/>
      <c r="CJE13" s="513"/>
      <c r="CJF13" s="513"/>
      <c r="CJG13" s="513"/>
      <c r="CJH13" s="513"/>
      <c r="CJI13" s="513"/>
      <c r="CJJ13" s="513"/>
      <c r="CJK13" s="513"/>
      <c r="CJL13" s="513"/>
      <c r="CJM13" s="513"/>
      <c r="CJN13" s="513"/>
      <c r="CJO13" s="513"/>
      <c r="CJP13" s="513"/>
      <c r="CJQ13" s="513"/>
      <c r="CJR13" s="513"/>
      <c r="CJS13" s="513"/>
      <c r="CJT13" s="513"/>
      <c r="CJU13" s="513"/>
      <c r="CJV13" s="513"/>
      <c r="CJW13" s="513"/>
      <c r="CJX13" s="513"/>
      <c r="CJY13" s="513"/>
      <c r="CJZ13" s="513"/>
      <c r="CKA13" s="513"/>
      <c r="CKB13" s="513"/>
      <c r="CKC13" s="513"/>
      <c r="CKD13" s="513"/>
      <c r="CKE13" s="513"/>
      <c r="CKF13" s="513"/>
      <c r="CKG13" s="513"/>
      <c r="CKH13" s="513"/>
      <c r="CKI13" s="513"/>
      <c r="CKJ13" s="513"/>
      <c r="CKK13" s="513"/>
      <c r="CKL13" s="513"/>
      <c r="CKM13" s="513"/>
      <c r="CKN13" s="513"/>
      <c r="CKO13" s="513"/>
      <c r="CKP13" s="513"/>
      <c r="CKQ13" s="513"/>
      <c r="CKR13" s="513"/>
      <c r="CKS13" s="513"/>
      <c r="CKT13" s="513"/>
      <c r="CKU13" s="513"/>
      <c r="CKV13" s="513"/>
      <c r="CKW13" s="513"/>
      <c r="CKX13" s="513"/>
      <c r="CKY13" s="513"/>
      <c r="CKZ13" s="513"/>
      <c r="CLA13" s="513"/>
      <c r="CLB13" s="513"/>
      <c r="CLC13" s="513"/>
      <c r="CLD13" s="513"/>
      <c r="CLE13" s="513"/>
      <c r="CLF13" s="513"/>
      <c r="CLG13" s="513"/>
      <c r="CLH13" s="513"/>
      <c r="CLI13" s="513"/>
      <c r="CLJ13" s="513"/>
      <c r="CLK13" s="513"/>
      <c r="CLL13" s="513"/>
      <c r="CLM13" s="513"/>
      <c r="CLN13" s="513"/>
      <c r="CLO13" s="513"/>
      <c r="CLP13" s="513"/>
      <c r="CLQ13" s="513"/>
      <c r="CLR13" s="513"/>
      <c r="CLS13" s="513"/>
      <c r="CLT13" s="513"/>
      <c r="CLU13" s="513"/>
      <c r="CLV13" s="513"/>
      <c r="CLW13" s="513"/>
      <c r="CLX13" s="513"/>
      <c r="CLY13" s="513"/>
      <c r="CLZ13" s="513"/>
      <c r="CMA13" s="513"/>
      <c r="CMB13" s="513"/>
      <c r="CMC13" s="513"/>
      <c r="CMD13" s="513"/>
      <c r="CME13" s="513"/>
      <c r="CMF13" s="513"/>
      <c r="CMG13" s="513"/>
      <c r="CMH13" s="513"/>
      <c r="CMI13" s="513"/>
      <c r="CMJ13" s="513"/>
      <c r="CMK13" s="513"/>
      <c r="CML13" s="513"/>
      <c r="CMM13" s="513"/>
      <c r="CMN13" s="513"/>
      <c r="CMO13" s="513"/>
      <c r="CMP13" s="513"/>
      <c r="CMQ13" s="513"/>
      <c r="CMR13" s="513"/>
      <c r="CMS13" s="513"/>
      <c r="CMT13" s="513"/>
      <c r="CMU13" s="513"/>
      <c r="CMV13" s="513"/>
      <c r="CMW13" s="513"/>
      <c r="CMX13" s="513"/>
      <c r="CMY13" s="513"/>
      <c r="CMZ13" s="513"/>
      <c r="CNA13" s="513"/>
      <c r="CNB13" s="513"/>
      <c r="CNC13" s="513"/>
      <c r="CND13" s="513"/>
      <c r="CNE13" s="513"/>
      <c r="CNF13" s="513"/>
      <c r="CNG13" s="513"/>
      <c r="CNH13" s="513"/>
      <c r="CNI13" s="513"/>
      <c r="CNJ13" s="513"/>
      <c r="CNK13" s="513"/>
      <c r="CNL13" s="513"/>
      <c r="CNM13" s="513"/>
      <c r="CNN13" s="513"/>
      <c r="CNO13" s="513"/>
      <c r="CNP13" s="513"/>
      <c r="CNQ13" s="513"/>
      <c r="CNR13" s="513"/>
      <c r="CNS13" s="513"/>
      <c r="CNT13" s="513"/>
      <c r="CNU13" s="513"/>
      <c r="CNV13" s="513"/>
      <c r="CNW13" s="513"/>
      <c r="CNX13" s="513"/>
      <c r="CNY13" s="513"/>
      <c r="CNZ13" s="513"/>
      <c r="COA13" s="513"/>
      <c r="COB13" s="513"/>
      <c r="COC13" s="513"/>
      <c r="COD13" s="513"/>
      <c r="COE13" s="513"/>
      <c r="COF13" s="513"/>
      <c r="COG13" s="513"/>
      <c r="COH13" s="513"/>
      <c r="COI13" s="513"/>
      <c r="COJ13" s="513"/>
      <c r="COK13" s="513"/>
      <c r="COL13" s="513"/>
      <c r="COM13" s="513"/>
      <c r="CON13" s="513"/>
      <c r="COO13" s="513"/>
      <c r="COP13" s="513"/>
      <c r="COQ13" s="513"/>
      <c r="COR13" s="513"/>
      <c r="COS13" s="513"/>
      <c r="COT13" s="513"/>
      <c r="COU13" s="513"/>
      <c r="COV13" s="513"/>
      <c r="COW13" s="513"/>
      <c r="COX13" s="513"/>
      <c r="COY13" s="513"/>
      <c r="COZ13" s="513"/>
      <c r="CPA13" s="513"/>
      <c r="CPB13" s="513"/>
      <c r="CPC13" s="513"/>
      <c r="CPD13" s="513"/>
      <c r="CPE13" s="513"/>
      <c r="CPF13" s="513"/>
      <c r="CPG13" s="513"/>
      <c r="CPH13" s="513"/>
      <c r="CPI13" s="513"/>
      <c r="CPJ13" s="513"/>
      <c r="CPK13" s="513"/>
      <c r="CPL13" s="513"/>
      <c r="CPM13" s="513"/>
      <c r="CPN13" s="513"/>
      <c r="CPO13" s="513"/>
      <c r="CPP13" s="513"/>
      <c r="CPQ13" s="513"/>
      <c r="CPR13" s="513"/>
      <c r="CPS13" s="513"/>
      <c r="CPT13" s="513"/>
      <c r="CPU13" s="513"/>
      <c r="CPV13" s="513"/>
      <c r="CPW13" s="513"/>
      <c r="CPX13" s="513"/>
      <c r="CPY13" s="513"/>
      <c r="CPZ13" s="513"/>
      <c r="CQA13" s="513"/>
      <c r="CQB13" s="513"/>
      <c r="CQC13" s="513"/>
      <c r="CQD13" s="513"/>
      <c r="CQE13" s="513"/>
      <c r="CQF13" s="513"/>
      <c r="CQG13" s="513"/>
      <c r="CQH13" s="513"/>
      <c r="CQI13" s="513"/>
      <c r="CQJ13" s="513"/>
      <c r="CQK13" s="513"/>
      <c r="CQL13" s="513"/>
      <c r="CQM13" s="513"/>
      <c r="CQN13" s="513"/>
      <c r="CQO13" s="513"/>
      <c r="CQP13" s="513"/>
      <c r="CQQ13" s="513"/>
      <c r="CQR13" s="513"/>
      <c r="CQS13" s="513"/>
      <c r="CQT13" s="513"/>
      <c r="CQU13" s="513"/>
      <c r="CQV13" s="513"/>
      <c r="CQW13" s="513"/>
      <c r="CQX13" s="513"/>
      <c r="CQY13" s="513"/>
      <c r="CQZ13" s="513"/>
      <c r="CRA13" s="513"/>
      <c r="CRB13" s="513"/>
      <c r="CRC13" s="513"/>
      <c r="CRD13" s="513"/>
      <c r="CRE13" s="513"/>
      <c r="CRF13" s="513"/>
      <c r="CRG13" s="513"/>
      <c r="CRH13" s="513"/>
      <c r="CRI13" s="513"/>
      <c r="CRJ13" s="513"/>
      <c r="CRK13" s="513"/>
      <c r="CRL13" s="513"/>
      <c r="CRM13" s="513"/>
      <c r="CRN13" s="513"/>
      <c r="CRO13" s="513"/>
      <c r="CRP13" s="513"/>
      <c r="CRQ13" s="513"/>
      <c r="CRR13" s="513"/>
      <c r="CRS13" s="513"/>
      <c r="CRT13" s="513"/>
      <c r="CRU13" s="513"/>
      <c r="CRV13" s="513"/>
      <c r="CRW13" s="513"/>
      <c r="CRX13" s="513"/>
      <c r="CRY13" s="513"/>
      <c r="CRZ13" s="513"/>
      <c r="CSA13" s="513"/>
      <c r="CSB13" s="513"/>
      <c r="CSC13" s="513"/>
      <c r="CSD13" s="513"/>
      <c r="CSE13" s="513"/>
      <c r="CSF13" s="513"/>
      <c r="CSG13" s="513"/>
      <c r="CSH13" s="513"/>
      <c r="CSI13" s="513"/>
      <c r="CSJ13" s="513"/>
      <c r="CSK13" s="513"/>
      <c r="CSL13" s="513"/>
      <c r="CSM13" s="513"/>
      <c r="CSN13" s="513"/>
      <c r="CSO13" s="513"/>
      <c r="CSP13" s="513"/>
      <c r="CSQ13" s="513"/>
      <c r="CSR13" s="513"/>
      <c r="CSS13" s="513"/>
      <c r="CST13" s="513"/>
      <c r="CSU13" s="513"/>
      <c r="CSV13" s="513"/>
      <c r="CSW13" s="513"/>
      <c r="CSX13" s="513"/>
      <c r="CSY13" s="513"/>
      <c r="CSZ13" s="513"/>
      <c r="CTA13" s="513"/>
      <c r="CTB13" s="513"/>
      <c r="CTC13" s="513"/>
      <c r="CTD13" s="513"/>
      <c r="CTE13" s="513"/>
      <c r="CTF13" s="513"/>
      <c r="CTG13" s="513"/>
      <c r="CTH13" s="513"/>
      <c r="CTI13" s="513"/>
      <c r="CTJ13" s="513"/>
      <c r="CTK13" s="513"/>
      <c r="CTL13" s="513"/>
      <c r="CTM13" s="513"/>
      <c r="CTN13" s="513"/>
      <c r="CTO13" s="513"/>
      <c r="CTP13" s="513"/>
      <c r="CTQ13" s="513"/>
      <c r="CTR13" s="513"/>
      <c r="CTS13" s="513"/>
      <c r="CTT13" s="513"/>
      <c r="CTU13" s="513"/>
      <c r="CTV13" s="513"/>
      <c r="CTW13" s="513"/>
      <c r="CTX13" s="513"/>
      <c r="CTY13" s="513"/>
      <c r="CTZ13" s="513"/>
      <c r="CUA13" s="513"/>
      <c r="CUB13" s="513"/>
      <c r="CUC13" s="513"/>
      <c r="CUD13" s="513"/>
      <c r="CUE13" s="513"/>
      <c r="CUF13" s="513"/>
      <c r="CUG13" s="513"/>
      <c r="CUH13" s="513"/>
      <c r="CUI13" s="513"/>
      <c r="CUJ13" s="513"/>
      <c r="CUK13" s="513"/>
      <c r="CUL13" s="513"/>
      <c r="CUM13" s="513"/>
      <c r="CUN13" s="513"/>
      <c r="CUO13" s="513"/>
      <c r="CUP13" s="513"/>
      <c r="CUQ13" s="513"/>
      <c r="CUR13" s="513"/>
      <c r="CUS13" s="513"/>
      <c r="CUT13" s="513"/>
      <c r="CUU13" s="513"/>
      <c r="CUV13" s="513"/>
      <c r="CUW13" s="513"/>
      <c r="CUX13" s="513"/>
      <c r="CUY13" s="513"/>
      <c r="CUZ13" s="513"/>
      <c r="CVA13" s="513"/>
      <c r="CVB13" s="513"/>
      <c r="CVC13" s="513"/>
      <c r="CVD13" s="513"/>
      <c r="CVE13" s="513"/>
      <c r="CVF13" s="513"/>
      <c r="CVG13" s="513"/>
      <c r="CVH13" s="513"/>
      <c r="CVI13" s="513"/>
      <c r="CVJ13" s="513"/>
      <c r="CVK13" s="513"/>
      <c r="CVL13" s="513"/>
      <c r="CVM13" s="513"/>
      <c r="CVN13" s="513"/>
      <c r="CVO13" s="513"/>
      <c r="CVP13" s="513"/>
      <c r="CVQ13" s="513"/>
      <c r="CVR13" s="513"/>
      <c r="CVS13" s="513"/>
      <c r="CVT13" s="513"/>
      <c r="CVU13" s="513"/>
      <c r="CVV13" s="513"/>
      <c r="CVW13" s="513"/>
      <c r="CVX13" s="513"/>
      <c r="CVY13" s="513"/>
      <c r="CVZ13" s="513"/>
      <c r="CWA13" s="513"/>
      <c r="CWB13" s="513"/>
      <c r="CWC13" s="513"/>
      <c r="CWD13" s="513"/>
      <c r="CWE13" s="513"/>
      <c r="CWF13" s="513"/>
      <c r="CWG13" s="513"/>
      <c r="CWH13" s="513"/>
      <c r="CWI13" s="513"/>
      <c r="CWJ13" s="513"/>
      <c r="CWK13" s="513"/>
      <c r="CWL13" s="513"/>
      <c r="CWM13" s="513"/>
      <c r="CWN13" s="513"/>
      <c r="CWO13" s="513"/>
      <c r="CWP13" s="513"/>
      <c r="CWQ13" s="513"/>
      <c r="CWR13" s="513"/>
      <c r="CWS13" s="513"/>
      <c r="CWT13" s="513"/>
      <c r="CWU13" s="513"/>
      <c r="CWV13" s="513"/>
      <c r="CWW13" s="513"/>
      <c r="CWX13" s="513"/>
      <c r="CWY13" s="513"/>
      <c r="CWZ13" s="513"/>
      <c r="CXA13" s="513"/>
      <c r="CXB13" s="513"/>
      <c r="CXC13" s="513"/>
      <c r="CXD13" s="513"/>
      <c r="CXE13" s="513"/>
      <c r="CXF13" s="513"/>
      <c r="CXG13" s="513"/>
      <c r="CXH13" s="513"/>
      <c r="CXI13" s="513"/>
      <c r="CXJ13" s="513"/>
      <c r="CXK13" s="513"/>
      <c r="CXL13" s="513"/>
      <c r="CXM13" s="513"/>
      <c r="CXN13" s="513"/>
      <c r="CXO13" s="513"/>
      <c r="CXP13" s="513"/>
      <c r="CXQ13" s="513"/>
      <c r="CXR13" s="513"/>
      <c r="CXS13" s="513"/>
      <c r="CXT13" s="513"/>
      <c r="CXU13" s="513"/>
      <c r="CXV13" s="513"/>
      <c r="CXW13" s="513"/>
      <c r="CXX13" s="513"/>
      <c r="CXY13" s="513"/>
      <c r="CXZ13" s="513"/>
      <c r="CYA13" s="513"/>
      <c r="CYB13" s="513"/>
      <c r="CYC13" s="513"/>
      <c r="CYD13" s="513"/>
      <c r="CYE13" s="513"/>
      <c r="CYF13" s="513"/>
      <c r="CYG13" s="513"/>
      <c r="CYH13" s="513"/>
      <c r="CYI13" s="513"/>
      <c r="CYJ13" s="513"/>
      <c r="CYK13" s="513"/>
      <c r="CYL13" s="513"/>
      <c r="CYM13" s="513"/>
      <c r="CYN13" s="513"/>
      <c r="CYO13" s="513"/>
      <c r="CYP13" s="513"/>
      <c r="CYQ13" s="513"/>
      <c r="CYR13" s="513"/>
      <c r="CYS13" s="513"/>
      <c r="CYT13" s="513"/>
      <c r="CYU13" s="513"/>
      <c r="CYV13" s="513"/>
      <c r="CYW13" s="513"/>
      <c r="CYX13" s="513"/>
      <c r="CYY13" s="513"/>
      <c r="CYZ13" s="513"/>
      <c r="CZA13" s="513"/>
      <c r="CZB13" s="513"/>
      <c r="CZC13" s="513"/>
      <c r="CZD13" s="513"/>
      <c r="CZE13" s="513"/>
      <c r="CZF13" s="513"/>
      <c r="CZG13" s="513"/>
      <c r="CZH13" s="513"/>
      <c r="CZI13" s="513"/>
      <c r="CZJ13" s="513"/>
      <c r="CZK13" s="513"/>
      <c r="CZL13" s="513"/>
      <c r="CZM13" s="513"/>
      <c r="CZN13" s="513"/>
      <c r="CZO13" s="513"/>
      <c r="CZP13" s="513"/>
      <c r="CZQ13" s="513"/>
      <c r="CZR13" s="513"/>
      <c r="CZS13" s="513"/>
      <c r="CZT13" s="513"/>
      <c r="CZU13" s="513"/>
      <c r="CZV13" s="513"/>
      <c r="CZW13" s="513"/>
      <c r="CZX13" s="513"/>
      <c r="CZY13" s="513"/>
      <c r="CZZ13" s="513"/>
      <c r="DAA13" s="513"/>
      <c r="DAB13" s="513"/>
      <c r="DAC13" s="513"/>
      <c r="DAD13" s="513"/>
      <c r="DAE13" s="513"/>
      <c r="DAF13" s="513"/>
      <c r="DAG13" s="513"/>
      <c r="DAH13" s="513"/>
      <c r="DAI13" s="513"/>
      <c r="DAJ13" s="513"/>
      <c r="DAK13" s="513"/>
      <c r="DAL13" s="513"/>
      <c r="DAM13" s="513"/>
      <c r="DAN13" s="513"/>
      <c r="DAO13" s="513"/>
      <c r="DAP13" s="513"/>
      <c r="DAQ13" s="513"/>
      <c r="DAR13" s="513"/>
      <c r="DAS13" s="513"/>
      <c r="DAT13" s="513"/>
      <c r="DAU13" s="513"/>
      <c r="DAV13" s="513"/>
      <c r="DAW13" s="513"/>
      <c r="DAX13" s="513"/>
      <c r="DAY13" s="513"/>
      <c r="DAZ13" s="513"/>
      <c r="DBA13" s="513"/>
      <c r="DBB13" s="513"/>
      <c r="DBC13" s="513"/>
      <c r="DBD13" s="513"/>
      <c r="DBE13" s="513"/>
      <c r="DBF13" s="513"/>
      <c r="DBG13" s="513"/>
      <c r="DBH13" s="513"/>
      <c r="DBI13" s="513"/>
      <c r="DBJ13" s="513"/>
      <c r="DBK13" s="513"/>
      <c r="DBL13" s="513"/>
      <c r="DBM13" s="513"/>
      <c r="DBN13" s="513"/>
      <c r="DBO13" s="513"/>
      <c r="DBP13" s="513"/>
      <c r="DBQ13" s="513"/>
      <c r="DBR13" s="513"/>
      <c r="DBS13" s="513"/>
      <c r="DBT13" s="513"/>
      <c r="DBU13" s="513"/>
      <c r="DBV13" s="513"/>
      <c r="DBW13" s="513"/>
      <c r="DBX13" s="513"/>
      <c r="DBY13" s="513"/>
      <c r="DBZ13" s="513"/>
      <c r="DCA13" s="513"/>
      <c r="DCB13" s="513"/>
      <c r="DCC13" s="513"/>
      <c r="DCD13" s="513"/>
      <c r="DCE13" s="513"/>
      <c r="DCF13" s="513"/>
      <c r="DCG13" s="513"/>
      <c r="DCH13" s="513"/>
      <c r="DCI13" s="513"/>
      <c r="DCJ13" s="513"/>
      <c r="DCK13" s="513"/>
      <c r="DCL13" s="513"/>
      <c r="DCM13" s="513"/>
      <c r="DCN13" s="513"/>
      <c r="DCO13" s="513"/>
      <c r="DCP13" s="513"/>
      <c r="DCQ13" s="513"/>
      <c r="DCR13" s="513"/>
      <c r="DCS13" s="513"/>
      <c r="DCT13" s="513"/>
      <c r="DCU13" s="513"/>
      <c r="DCV13" s="513"/>
      <c r="DCW13" s="513"/>
      <c r="DCX13" s="513"/>
      <c r="DCY13" s="513"/>
      <c r="DCZ13" s="513"/>
      <c r="DDA13" s="513"/>
      <c r="DDB13" s="513"/>
      <c r="DDC13" s="513"/>
      <c r="DDD13" s="513"/>
      <c r="DDE13" s="513"/>
      <c r="DDF13" s="513"/>
      <c r="DDG13" s="513"/>
      <c r="DDH13" s="513"/>
      <c r="DDI13" s="513"/>
      <c r="DDJ13" s="513"/>
      <c r="DDK13" s="513"/>
      <c r="DDL13" s="513"/>
      <c r="DDM13" s="513"/>
      <c r="DDN13" s="513"/>
      <c r="DDO13" s="513"/>
      <c r="DDP13" s="513"/>
      <c r="DDQ13" s="513"/>
      <c r="DDR13" s="513"/>
      <c r="DDS13" s="513"/>
      <c r="DDT13" s="513"/>
      <c r="DDU13" s="513"/>
      <c r="DDV13" s="513"/>
      <c r="DDW13" s="513"/>
      <c r="DDX13" s="513"/>
      <c r="DDY13" s="513"/>
      <c r="DDZ13" s="513"/>
      <c r="DEA13" s="513"/>
      <c r="DEB13" s="513"/>
      <c r="DEC13" s="513"/>
      <c r="DED13" s="513"/>
      <c r="DEE13" s="513"/>
      <c r="DEF13" s="513"/>
      <c r="DEG13" s="513"/>
      <c r="DEH13" s="513"/>
      <c r="DEI13" s="513"/>
      <c r="DEJ13" s="513"/>
      <c r="DEK13" s="513"/>
      <c r="DEL13" s="513"/>
      <c r="DEM13" s="513"/>
      <c r="DEN13" s="513"/>
      <c r="DEO13" s="513"/>
      <c r="DEP13" s="513"/>
      <c r="DEQ13" s="513"/>
      <c r="DER13" s="513"/>
      <c r="DES13" s="513"/>
      <c r="DET13" s="513"/>
      <c r="DEU13" s="513"/>
      <c r="DEV13" s="513"/>
      <c r="DEW13" s="513"/>
      <c r="DEX13" s="513"/>
      <c r="DEY13" s="513"/>
      <c r="DEZ13" s="513"/>
      <c r="DFA13" s="513"/>
      <c r="DFB13" s="513"/>
      <c r="DFC13" s="513"/>
      <c r="DFD13" s="513"/>
      <c r="DFE13" s="513"/>
      <c r="DFF13" s="513"/>
      <c r="DFG13" s="513"/>
      <c r="DFH13" s="513"/>
      <c r="DFI13" s="513"/>
      <c r="DFJ13" s="513"/>
      <c r="DFK13" s="513"/>
      <c r="DFL13" s="513"/>
      <c r="DFM13" s="513"/>
      <c r="DFN13" s="513"/>
      <c r="DFO13" s="513"/>
      <c r="DFP13" s="513"/>
      <c r="DFQ13" s="513"/>
      <c r="DFR13" s="513"/>
      <c r="DFS13" s="513"/>
      <c r="DFT13" s="513"/>
      <c r="DFU13" s="513"/>
      <c r="DFV13" s="513"/>
      <c r="DFW13" s="513"/>
      <c r="DFX13" s="513"/>
      <c r="DFY13" s="513"/>
      <c r="DFZ13" s="513"/>
      <c r="DGA13" s="513"/>
      <c r="DGB13" s="513"/>
      <c r="DGC13" s="513"/>
      <c r="DGD13" s="513"/>
      <c r="DGE13" s="513"/>
      <c r="DGF13" s="513"/>
      <c r="DGG13" s="513"/>
      <c r="DGH13" s="513"/>
      <c r="DGI13" s="513"/>
      <c r="DGJ13" s="513"/>
      <c r="DGK13" s="513"/>
      <c r="DGL13" s="513"/>
      <c r="DGM13" s="513"/>
      <c r="DGN13" s="513"/>
      <c r="DGO13" s="513"/>
      <c r="DGP13" s="513"/>
      <c r="DGQ13" s="513"/>
      <c r="DGR13" s="513"/>
      <c r="DGS13" s="513"/>
      <c r="DGT13" s="513"/>
      <c r="DGU13" s="513"/>
      <c r="DGV13" s="513"/>
      <c r="DGW13" s="513"/>
      <c r="DGX13" s="513"/>
      <c r="DGY13" s="513"/>
      <c r="DGZ13" s="513"/>
      <c r="DHA13" s="513"/>
      <c r="DHB13" s="513"/>
      <c r="DHC13" s="513"/>
      <c r="DHD13" s="513"/>
      <c r="DHE13" s="513"/>
      <c r="DHF13" s="513"/>
      <c r="DHG13" s="513"/>
      <c r="DHH13" s="513"/>
      <c r="DHI13" s="513"/>
      <c r="DHJ13" s="513"/>
      <c r="DHK13" s="513"/>
      <c r="DHL13" s="513"/>
      <c r="DHM13" s="513"/>
      <c r="DHN13" s="513"/>
      <c r="DHO13" s="513"/>
      <c r="DHP13" s="513"/>
      <c r="DHQ13" s="513"/>
      <c r="DHR13" s="513"/>
      <c r="DHS13" s="513"/>
      <c r="DHT13" s="513"/>
      <c r="DHU13" s="513"/>
      <c r="DHV13" s="513"/>
      <c r="DHW13" s="513"/>
      <c r="DHX13" s="513"/>
      <c r="DHY13" s="513"/>
      <c r="DHZ13" s="513"/>
      <c r="DIA13" s="513"/>
      <c r="DIB13" s="513"/>
      <c r="DIC13" s="513"/>
      <c r="DID13" s="513"/>
      <c r="DIE13" s="513"/>
      <c r="DIF13" s="513"/>
      <c r="DIG13" s="513"/>
      <c r="DIH13" s="513"/>
      <c r="DII13" s="513"/>
      <c r="DIJ13" s="513"/>
      <c r="DIK13" s="513"/>
      <c r="DIL13" s="513"/>
      <c r="DIM13" s="513"/>
      <c r="DIN13" s="513"/>
      <c r="DIO13" s="513"/>
      <c r="DIP13" s="513"/>
      <c r="DIQ13" s="513"/>
      <c r="DIR13" s="513"/>
      <c r="DIS13" s="513"/>
      <c r="DIT13" s="513"/>
      <c r="DIU13" s="513"/>
      <c r="DIV13" s="513"/>
      <c r="DIW13" s="513"/>
      <c r="DIX13" s="513"/>
      <c r="DIY13" s="513"/>
      <c r="DIZ13" s="513"/>
      <c r="DJA13" s="513"/>
      <c r="DJB13" s="513"/>
      <c r="DJC13" s="513"/>
      <c r="DJD13" s="513"/>
      <c r="DJE13" s="513"/>
      <c r="DJF13" s="513"/>
      <c r="DJG13" s="513"/>
      <c r="DJH13" s="513"/>
      <c r="DJI13" s="513"/>
      <c r="DJJ13" s="513"/>
      <c r="DJK13" s="513"/>
      <c r="DJL13" s="513"/>
      <c r="DJM13" s="513"/>
      <c r="DJN13" s="513"/>
      <c r="DJO13" s="513"/>
      <c r="DJP13" s="513"/>
      <c r="DJQ13" s="513"/>
      <c r="DJR13" s="513"/>
      <c r="DJS13" s="513"/>
      <c r="DJT13" s="513"/>
      <c r="DJU13" s="513"/>
      <c r="DJV13" s="513"/>
      <c r="DJW13" s="513"/>
      <c r="DJX13" s="513"/>
      <c r="DJY13" s="513"/>
      <c r="DJZ13" s="513"/>
      <c r="DKA13" s="513"/>
      <c r="DKB13" s="513"/>
      <c r="DKC13" s="513"/>
      <c r="DKD13" s="513"/>
      <c r="DKE13" s="513"/>
      <c r="DKF13" s="513"/>
      <c r="DKG13" s="513"/>
      <c r="DKH13" s="513"/>
      <c r="DKI13" s="513"/>
      <c r="DKJ13" s="513"/>
      <c r="DKK13" s="513"/>
      <c r="DKL13" s="513"/>
      <c r="DKM13" s="513"/>
      <c r="DKN13" s="513"/>
      <c r="DKO13" s="513"/>
      <c r="DKP13" s="513"/>
      <c r="DKQ13" s="513"/>
      <c r="DKR13" s="513"/>
      <c r="DKS13" s="513"/>
      <c r="DKT13" s="513"/>
      <c r="DKU13" s="513"/>
      <c r="DKV13" s="513"/>
      <c r="DKW13" s="513"/>
      <c r="DKX13" s="513"/>
      <c r="DKY13" s="513"/>
      <c r="DKZ13" s="513"/>
      <c r="DLA13" s="513"/>
      <c r="DLB13" s="513"/>
      <c r="DLC13" s="513"/>
      <c r="DLD13" s="513"/>
      <c r="DLE13" s="513"/>
      <c r="DLF13" s="513"/>
      <c r="DLG13" s="513"/>
      <c r="DLH13" s="513"/>
      <c r="DLI13" s="513"/>
      <c r="DLJ13" s="513"/>
      <c r="DLK13" s="513"/>
      <c r="DLL13" s="513"/>
      <c r="DLM13" s="513"/>
      <c r="DLN13" s="513"/>
      <c r="DLO13" s="513"/>
      <c r="DLP13" s="513"/>
      <c r="DLQ13" s="513"/>
      <c r="DLR13" s="513"/>
      <c r="DLS13" s="513"/>
      <c r="DLT13" s="513"/>
      <c r="DLU13" s="513"/>
      <c r="DLV13" s="513"/>
      <c r="DLW13" s="513"/>
      <c r="DLX13" s="513"/>
      <c r="DLY13" s="513"/>
      <c r="DLZ13" s="513"/>
      <c r="DMA13" s="513"/>
      <c r="DMB13" s="513"/>
      <c r="DMC13" s="513"/>
      <c r="DMD13" s="513"/>
      <c r="DME13" s="513"/>
      <c r="DMF13" s="513"/>
      <c r="DMG13" s="513"/>
      <c r="DMH13" s="513"/>
      <c r="DMI13" s="513"/>
      <c r="DMJ13" s="513"/>
      <c r="DMK13" s="513"/>
      <c r="DML13" s="513"/>
      <c r="DMM13" s="513"/>
      <c r="DMN13" s="513"/>
      <c r="DMO13" s="513"/>
      <c r="DMP13" s="513"/>
      <c r="DMQ13" s="513"/>
      <c r="DMR13" s="513"/>
      <c r="DMS13" s="513"/>
      <c r="DMT13" s="513"/>
      <c r="DMU13" s="513"/>
      <c r="DMV13" s="513"/>
      <c r="DMW13" s="513"/>
      <c r="DMX13" s="513"/>
      <c r="DMY13" s="513"/>
      <c r="DMZ13" s="513"/>
      <c r="DNA13" s="513"/>
      <c r="DNB13" s="513"/>
      <c r="DNC13" s="513"/>
      <c r="DND13" s="513"/>
      <c r="DNE13" s="513"/>
      <c r="DNF13" s="513"/>
      <c r="DNG13" s="513"/>
      <c r="DNH13" s="513"/>
      <c r="DNI13" s="513"/>
      <c r="DNJ13" s="513"/>
      <c r="DNK13" s="513"/>
      <c r="DNL13" s="513"/>
      <c r="DNM13" s="513"/>
      <c r="DNN13" s="513"/>
      <c r="DNO13" s="513"/>
      <c r="DNP13" s="513"/>
      <c r="DNQ13" s="513"/>
      <c r="DNR13" s="513"/>
      <c r="DNS13" s="513"/>
      <c r="DNT13" s="513"/>
      <c r="DNU13" s="513"/>
      <c r="DNV13" s="513"/>
      <c r="DNW13" s="513"/>
      <c r="DNX13" s="513"/>
      <c r="DNY13" s="513"/>
      <c r="DNZ13" s="513"/>
      <c r="DOA13" s="513"/>
      <c r="DOB13" s="513"/>
      <c r="DOC13" s="513"/>
      <c r="DOD13" s="513"/>
      <c r="DOE13" s="513"/>
      <c r="DOF13" s="513"/>
      <c r="DOG13" s="513"/>
      <c r="DOH13" s="513"/>
      <c r="DOI13" s="513"/>
      <c r="DOJ13" s="513"/>
      <c r="DOK13" s="513"/>
      <c r="DOL13" s="513"/>
      <c r="DOM13" s="513"/>
      <c r="DON13" s="513"/>
      <c r="DOO13" s="513"/>
      <c r="DOP13" s="513"/>
      <c r="DOQ13" s="513"/>
      <c r="DOR13" s="513"/>
      <c r="DOS13" s="513"/>
      <c r="DOT13" s="513"/>
      <c r="DOU13" s="513"/>
      <c r="DOV13" s="513"/>
      <c r="DOW13" s="513"/>
      <c r="DOX13" s="513"/>
      <c r="DOY13" s="513"/>
      <c r="DOZ13" s="513"/>
      <c r="DPA13" s="513"/>
      <c r="DPB13" s="513"/>
      <c r="DPC13" s="513"/>
      <c r="DPD13" s="513"/>
      <c r="DPE13" s="513"/>
      <c r="DPF13" s="513"/>
      <c r="DPG13" s="513"/>
      <c r="DPH13" s="513"/>
      <c r="DPI13" s="513"/>
      <c r="DPJ13" s="513"/>
      <c r="DPK13" s="513"/>
      <c r="DPL13" s="513"/>
      <c r="DPM13" s="513"/>
      <c r="DPN13" s="513"/>
      <c r="DPO13" s="513"/>
      <c r="DPP13" s="513"/>
      <c r="DPQ13" s="513"/>
      <c r="DPR13" s="513"/>
      <c r="DPS13" s="513"/>
      <c r="DPT13" s="513"/>
      <c r="DPU13" s="513"/>
      <c r="DPV13" s="513"/>
      <c r="DPW13" s="513"/>
      <c r="DPX13" s="513"/>
      <c r="DPY13" s="513"/>
      <c r="DPZ13" s="513"/>
      <c r="DQA13" s="513"/>
      <c r="DQB13" s="513"/>
      <c r="DQC13" s="513"/>
      <c r="DQD13" s="513"/>
      <c r="DQE13" s="513"/>
      <c r="DQF13" s="513"/>
      <c r="DQG13" s="513"/>
      <c r="DQH13" s="513"/>
      <c r="DQI13" s="513"/>
      <c r="DQJ13" s="513"/>
      <c r="DQK13" s="513"/>
      <c r="DQL13" s="513"/>
      <c r="DQM13" s="513"/>
      <c r="DQN13" s="513"/>
      <c r="DQO13" s="513"/>
      <c r="DQP13" s="513"/>
      <c r="DQQ13" s="513"/>
      <c r="DQR13" s="513"/>
      <c r="DQS13" s="513"/>
      <c r="DQT13" s="513"/>
      <c r="DQU13" s="513"/>
      <c r="DQV13" s="513"/>
      <c r="DQW13" s="513"/>
      <c r="DQX13" s="513"/>
      <c r="DQY13" s="513"/>
      <c r="DQZ13" s="513"/>
      <c r="DRA13" s="513"/>
      <c r="DRB13" s="513"/>
      <c r="DRC13" s="513"/>
      <c r="DRD13" s="513"/>
      <c r="DRE13" s="513"/>
      <c r="DRF13" s="513"/>
      <c r="DRG13" s="513"/>
      <c r="DRH13" s="513"/>
      <c r="DRI13" s="513"/>
      <c r="DRJ13" s="513"/>
      <c r="DRK13" s="513"/>
      <c r="DRL13" s="513"/>
      <c r="DRM13" s="513"/>
      <c r="DRN13" s="513"/>
      <c r="DRO13" s="513"/>
      <c r="DRP13" s="513"/>
      <c r="DRQ13" s="513"/>
      <c r="DRR13" s="513"/>
      <c r="DRS13" s="513"/>
      <c r="DRT13" s="513"/>
      <c r="DRU13" s="513"/>
      <c r="DRV13" s="513"/>
      <c r="DRW13" s="513"/>
      <c r="DRX13" s="513"/>
      <c r="DRY13" s="513"/>
      <c r="DRZ13" s="513"/>
      <c r="DSA13" s="513"/>
      <c r="DSB13" s="513"/>
      <c r="DSC13" s="513"/>
      <c r="DSD13" s="513"/>
      <c r="DSE13" s="513"/>
      <c r="DSF13" s="513"/>
      <c r="DSG13" s="513"/>
      <c r="DSH13" s="513"/>
      <c r="DSI13" s="513"/>
      <c r="DSJ13" s="513"/>
      <c r="DSK13" s="513"/>
      <c r="DSL13" s="513"/>
      <c r="DSM13" s="513"/>
      <c r="DSN13" s="513"/>
      <c r="DSO13" s="513"/>
      <c r="DSP13" s="513"/>
      <c r="DSQ13" s="513"/>
      <c r="DSR13" s="513"/>
      <c r="DSS13" s="513"/>
      <c r="DST13" s="513"/>
      <c r="DSU13" s="513"/>
      <c r="DSV13" s="513"/>
      <c r="DSW13" s="513"/>
      <c r="DSX13" s="513"/>
      <c r="DSY13" s="513"/>
      <c r="DSZ13" s="513"/>
      <c r="DTA13" s="513"/>
      <c r="DTB13" s="513"/>
      <c r="DTC13" s="513"/>
      <c r="DTD13" s="513"/>
      <c r="DTE13" s="513"/>
      <c r="DTF13" s="513"/>
      <c r="DTG13" s="513"/>
      <c r="DTH13" s="513"/>
      <c r="DTI13" s="513"/>
      <c r="DTJ13" s="513"/>
      <c r="DTK13" s="513"/>
      <c r="DTL13" s="513"/>
      <c r="DTM13" s="513"/>
      <c r="DTN13" s="513"/>
      <c r="DTO13" s="513"/>
      <c r="DTP13" s="513"/>
      <c r="DTQ13" s="513"/>
      <c r="DTR13" s="513"/>
      <c r="DTS13" s="513"/>
      <c r="DTT13" s="513"/>
      <c r="DTU13" s="513"/>
      <c r="DTV13" s="513"/>
      <c r="DTW13" s="513"/>
      <c r="DTX13" s="513"/>
      <c r="DTY13" s="513"/>
      <c r="DTZ13" s="513"/>
      <c r="DUA13" s="513"/>
      <c r="DUB13" s="513"/>
      <c r="DUC13" s="513"/>
      <c r="DUD13" s="513"/>
      <c r="DUE13" s="513"/>
      <c r="DUF13" s="513"/>
      <c r="DUG13" s="513"/>
      <c r="DUH13" s="513"/>
      <c r="DUI13" s="513"/>
      <c r="DUJ13" s="513"/>
      <c r="DUK13" s="513"/>
      <c r="DUL13" s="513"/>
      <c r="DUM13" s="513"/>
      <c r="DUN13" s="513"/>
      <c r="DUO13" s="513"/>
      <c r="DUP13" s="513"/>
      <c r="DUQ13" s="513"/>
      <c r="DUR13" s="513"/>
      <c r="DUS13" s="513"/>
      <c r="DUT13" s="513"/>
      <c r="DUU13" s="513"/>
      <c r="DUV13" s="513"/>
      <c r="DUW13" s="513"/>
      <c r="DUX13" s="513"/>
      <c r="DUY13" s="513"/>
      <c r="DUZ13" s="513"/>
      <c r="DVA13" s="513"/>
      <c r="DVB13" s="513"/>
      <c r="DVC13" s="513"/>
      <c r="DVD13" s="513"/>
      <c r="DVE13" s="513"/>
      <c r="DVF13" s="513"/>
      <c r="DVG13" s="513"/>
      <c r="DVH13" s="513"/>
      <c r="DVI13" s="513"/>
      <c r="DVJ13" s="513"/>
      <c r="DVK13" s="513"/>
      <c r="DVL13" s="513"/>
      <c r="DVM13" s="513"/>
      <c r="DVN13" s="513"/>
      <c r="DVO13" s="513"/>
      <c r="DVP13" s="513"/>
      <c r="DVQ13" s="513"/>
      <c r="DVR13" s="513"/>
      <c r="DVS13" s="513"/>
      <c r="DVT13" s="513"/>
      <c r="DVU13" s="513"/>
      <c r="DVV13" s="513"/>
      <c r="DVW13" s="513"/>
      <c r="DVX13" s="513"/>
      <c r="DVY13" s="513"/>
      <c r="DVZ13" s="513"/>
      <c r="DWA13" s="513"/>
      <c r="DWB13" s="513"/>
      <c r="DWC13" s="513"/>
      <c r="DWD13" s="513"/>
      <c r="DWE13" s="513"/>
      <c r="DWF13" s="513"/>
      <c r="DWG13" s="513"/>
      <c r="DWH13" s="513"/>
      <c r="DWI13" s="513"/>
      <c r="DWJ13" s="513"/>
      <c r="DWK13" s="513"/>
      <c r="DWL13" s="513"/>
      <c r="DWM13" s="513"/>
      <c r="DWN13" s="513"/>
      <c r="DWO13" s="513"/>
      <c r="DWP13" s="513"/>
      <c r="DWQ13" s="513"/>
      <c r="DWR13" s="513"/>
      <c r="DWS13" s="513"/>
      <c r="DWT13" s="513"/>
      <c r="DWU13" s="513"/>
      <c r="DWV13" s="513"/>
      <c r="DWW13" s="513"/>
      <c r="DWX13" s="513"/>
      <c r="DWY13" s="513"/>
      <c r="DWZ13" s="513"/>
      <c r="DXA13" s="513"/>
      <c r="DXB13" s="513"/>
      <c r="DXC13" s="513"/>
      <c r="DXD13" s="513"/>
      <c r="DXE13" s="513"/>
      <c r="DXF13" s="513"/>
      <c r="DXG13" s="513"/>
      <c r="DXH13" s="513"/>
      <c r="DXI13" s="513"/>
      <c r="DXJ13" s="513"/>
      <c r="DXK13" s="513"/>
      <c r="DXL13" s="513"/>
      <c r="DXM13" s="513"/>
      <c r="DXN13" s="513"/>
      <c r="DXO13" s="513"/>
      <c r="DXP13" s="513"/>
      <c r="DXQ13" s="513"/>
      <c r="DXR13" s="513"/>
      <c r="DXS13" s="513"/>
      <c r="DXT13" s="513"/>
      <c r="DXU13" s="513"/>
      <c r="DXV13" s="513"/>
      <c r="DXW13" s="513"/>
      <c r="DXX13" s="513"/>
      <c r="DXY13" s="513"/>
      <c r="DXZ13" s="513"/>
      <c r="DYA13" s="513"/>
      <c r="DYB13" s="513"/>
      <c r="DYC13" s="513"/>
      <c r="DYD13" s="513"/>
      <c r="DYE13" s="513"/>
      <c r="DYF13" s="513"/>
      <c r="DYG13" s="513"/>
      <c r="DYH13" s="513"/>
      <c r="DYI13" s="513"/>
      <c r="DYJ13" s="513"/>
      <c r="DYK13" s="513"/>
      <c r="DYL13" s="513"/>
      <c r="DYM13" s="513"/>
      <c r="DYN13" s="513"/>
      <c r="DYO13" s="513"/>
      <c r="DYP13" s="513"/>
      <c r="DYQ13" s="513"/>
      <c r="DYR13" s="513"/>
      <c r="DYS13" s="513"/>
      <c r="DYT13" s="513"/>
      <c r="DYU13" s="513"/>
      <c r="DYV13" s="513"/>
      <c r="DYW13" s="513"/>
      <c r="DYX13" s="513"/>
      <c r="DYY13" s="513"/>
      <c r="DYZ13" s="513"/>
      <c r="DZA13" s="513"/>
      <c r="DZB13" s="513"/>
      <c r="DZC13" s="513"/>
      <c r="DZD13" s="513"/>
      <c r="DZE13" s="513"/>
      <c r="DZF13" s="513"/>
      <c r="DZG13" s="513"/>
      <c r="DZH13" s="513"/>
      <c r="DZI13" s="513"/>
      <c r="DZJ13" s="513"/>
      <c r="DZK13" s="513"/>
      <c r="DZL13" s="513"/>
      <c r="DZM13" s="513"/>
      <c r="DZN13" s="513"/>
      <c r="DZO13" s="513"/>
      <c r="DZP13" s="513"/>
      <c r="DZQ13" s="513"/>
      <c r="DZR13" s="513"/>
      <c r="DZS13" s="513"/>
      <c r="DZT13" s="513"/>
      <c r="DZU13" s="513"/>
      <c r="DZV13" s="513"/>
      <c r="DZW13" s="513"/>
      <c r="DZX13" s="513"/>
      <c r="DZY13" s="513"/>
      <c r="DZZ13" s="513"/>
      <c r="EAA13" s="513"/>
      <c r="EAB13" s="513"/>
      <c r="EAC13" s="513"/>
      <c r="EAD13" s="513"/>
      <c r="EAE13" s="513"/>
      <c r="EAF13" s="513"/>
      <c r="EAG13" s="513"/>
      <c r="EAH13" s="513"/>
      <c r="EAI13" s="513"/>
      <c r="EAJ13" s="513"/>
      <c r="EAK13" s="513"/>
      <c r="EAL13" s="513"/>
      <c r="EAM13" s="513"/>
      <c r="EAN13" s="513"/>
      <c r="EAO13" s="513"/>
      <c r="EAP13" s="513"/>
      <c r="EAQ13" s="513"/>
      <c r="EAR13" s="513"/>
      <c r="EAS13" s="513"/>
      <c r="EAT13" s="513"/>
      <c r="EAU13" s="513"/>
      <c r="EAV13" s="513"/>
      <c r="EAW13" s="513"/>
      <c r="EAX13" s="513"/>
      <c r="EAY13" s="513"/>
      <c r="EAZ13" s="513"/>
      <c r="EBA13" s="513"/>
      <c r="EBB13" s="513"/>
      <c r="EBC13" s="513"/>
      <c r="EBD13" s="513"/>
      <c r="EBE13" s="513"/>
      <c r="EBF13" s="513"/>
      <c r="EBG13" s="513"/>
      <c r="EBH13" s="513"/>
      <c r="EBI13" s="513"/>
      <c r="EBJ13" s="513"/>
      <c r="EBK13" s="513"/>
      <c r="EBL13" s="513"/>
      <c r="EBM13" s="513"/>
      <c r="EBN13" s="513"/>
      <c r="EBO13" s="513"/>
      <c r="EBP13" s="513"/>
      <c r="EBQ13" s="513"/>
      <c r="EBR13" s="513"/>
      <c r="EBS13" s="513"/>
      <c r="EBT13" s="513"/>
      <c r="EBU13" s="513"/>
      <c r="EBV13" s="513"/>
      <c r="EBW13" s="513"/>
      <c r="EBX13" s="513"/>
      <c r="EBY13" s="513"/>
      <c r="EBZ13" s="513"/>
      <c r="ECA13" s="513"/>
      <c r="ECB13" s="513"/>
      <c r="ECC13" s="513"/>
      <c r="ECD13" s="513"/>
      <c r="ECE13" s="513"/>
      <c r="ECF13" s="513"/>
      <c r="ECG13" s="513"/>
      <c r="ECH13" s="513"/>
      <c r="ECI13" s="513"/>
      <c r="ECJ13" s="513"/>
      <c r="ECK13" s="513"/>
      <c r="ECL13" s="513"/>
      <c r="ECM13" s="513"/>
      <c r="ECN13" s="513"/>
      <c r="ECO13" s="513"/>
      <c r="ECP13" s="513"/>
      <c r="ECQ13" s="513"/>
      <c r="ECR13" s="513"/>
      <c r="ECS13" s="513"/>
      <c r="ECT13" s="513"/>
      <c r="ECU13" s="513"/>
      <c r="ECV13" s="513"/>
      <c r="ECW13" s="513"/>
      <c r="ECX13" s="513"/>
      <c r="ECY13" s="513"/>
      <c r="ECZ13" s="513"/>
      <c r="EDA13" s="513"/>
      <c r="EDB13" s="513"/>
      <c r="EDC13" s="513"/>
      <c r="EDD13" s="513"/>
      <c r="EDE13" s="513"/>
      <c r="EDF13" s="513"/>
      <c r="EDG13" s="513"/>
      <c r="EDH13" s="513"/>
      <c r="EDI13" s="513"/>
      <c r="EDJ13" s="513"/>
      <c r="EDK13" s="513"/>
      <c r="EDL13" s="513"/>
      <c r="EDM13" s="513"/>
      <c r="EDN13" s="513"/>
      <c r="EDO13" s="513"/>
      <c r="EDP13" s="513"/>
      <c r="EDQ13" s="513"/>
      <c r="EDR13" s="513"/>
      <c r="EDS13" s="513"/>
      <c r="EDT13" s="513"/>
      <c r="EDU13" s="513"/>
      <c r="EDV13" s="513"/>
      <c r="EDW13" s="513"/>
      <c r="EDX13" s="513"/>
      <c r="EDY13" s="513"/>
      <c r="EDZ13" s="513"/>
      <c r="EEA13" s="513"/>
      <c r="EEB13" s="513"/>
      <c r="EEC13" s="513"/>
      <c r="EED13" s="513"/>
      <c r="EEE13" s="513"/>
      <c r="EEF13" s="513"/>
      <c r="EEG13" s="513"/>
      <c r="EEH13" s="513"/>
      <c r="EEI13" s="513"/>
      <c r="EEJ13" s="513"/>
      <c r="EEK13" s="513"/>
      <c r="EEL13" s="513"/>
      <c r="EEM13" s="513"/>
      <c r="EEN13" s="513"/>
      <c r="EEO13" s="513"/>
      <c r="EEP13" s="513"/>
      <c r="EEQ13" s="513"/>
      <c r="EER13" s="513"/>
      <c r="EES13" s="513"/>
      <c r="EET13" s="513"/>
      <c r="EEU13" s="513"/>
      <c r="EEV13" s="513"/>
      <c r="EEW13" s="513"/>
      <c r="EEX13" s="513"/>
      <c r="EEY13" s="513"/>
      <c r="EEZ13" s="513"/>
      <c r="EFA13" s="513"/>
      <c r="EFB13" s="513"/>
      <c r="EFC13" s="513"/>
      <c r="EFD13" s="513"/>
      <c r="EFE13" s="513"/>
      <c r="EFF13" s="513"/>
      <c r="EFG13" s="513"/>
      <c r="EFH13" s="513"/>
      <c r="EFI13" s="513"/>
      <c r="EFJ13" s="513"/>
      <c r="EFK13" s="513"/>
      <c r="EFL13" s="513"/>
      <c r="EFM13" s="513"/>
      <c r="EFN13" s="513"/>
      <c r="EFO13" s="513"/>
      <c r="EFP13" s="513"/>
      <c r="EFQ13" s="513"/>
      <c r="EFR13" s="513"/>
      <c r="EFS13" s="513"/>
      <c r="EFT13" s="513"/>
      <c r="EFU13" s="513"/>
      <c r="EFV13" s="513"/>
      <c r="EFW13" s="513"/>
      <c r="EFX13" s="513"/>
      <c r="EFY13" s="513"/>
      <c r="EFZ13" s="513"/>
      <c r="EGA13" s="513"/>
      <c r="EGB13" s="513"/>
      <c r="EGC13" s="513"/>
      <c r="EGD13" s="513"/>
      <c r="EGE13" s="513"/>
      <c r="EGF13" s="513"/>
      <c r="EGG13" s="513"/>
      <c r="EGH13" s="513"/>
      <c r="EGI13" s="513"/>
      <c r="EGJ13" s="513"/>
      <c r="EGK13" s="513"/>
      <c r="EGL13" s="513"/>
      <c r="EGM13" s="513"/>
      <c r="EGN13" s="513"/>
      <c r="EGO13" s="513"/>
      <c r="EGP13" s="513"/>
      <c r="EGQ13" s="513"/>
      <c r="EGR13" s="513"/>
      <c r="EGS13" s="513"/>
      <c r="EGT13" s="513"/>
      <c r="EGU13" s="513"/>
      <c r="EGV13" s="513"/>
      <c r="EGW13" s="513"/>
      <c r="EGX13" s="513"/>
      <c r="EGY13" s="513"/>
      <c r="EGZ13" s="513"/>
      <c r="EHA13" s="513"/>
      <c r="EHB13" s="513"/>
      <c r="EHC13" s="513"/>
      <c r="EHD13" s="513"/>
      <c r="EHE13" s="513"/>
      <c r="EHF13" s="513"/>
      <c r="EHG13" s="513"/>
      <c r="EHH13" s="513"/>
      <c r="EHI13" s="513"/>
      <c r="EHJ13" s="513"/>
      <c r="EHK13" s="513"/>
      <c r="EHL13" s="513"/>
      <c r="EHM13" s="513"/>
      <c r="EHN13" s="513"/>
      <c r="EHO13" s="513"/>
      <c r="EHP13" s="513"/>
      <c r="EHQ13" s="513"/>
      <c r="EHR13" s="513"/>
      <c r="EHS13" s="513"/>
      <c r="EHT13" s="513"/>
      <c r="EHU13" s="513"/>
      <c r="EHV13" s="513"/>
      <c r="EHW13" s="513"/>
      <c r="EHX13" s="513"/>
      <c r="EHY13" s="513"/>
      <c r="EHZ13" s="513"/>
      <c r="EIA13" s="513"/>
      <c r="EIB13" s="513"/>
      <c r="EIC13" s="513"/>
      <c r="EID13" s="513"/>
      <c r="EIE13" s="513"/>
      <c r="EIF13" s="513"/>
      <c r="EIG13" s="513"/>
      <c r="EIH13" s="513"/>
      <c r="EII13" s="513"/>
      <c r="EIJ13" s="513"/>
      <c r="EIK13" s="513"/>
      <c r="EIL13" s="513"/>
      <c r="EIM13" s="513"/>
      <c r="EIN13" s="513"/>
      <c r="EIO13" s="513"/>
      <c r="EIP13" s="513"/>
      <c r="EIQ13" s="513"/>
      <c r="EIR13" s="513"/>
      <c r="EIS13" s="513"/>
      <c r="EIT13" s="513"/>
      <c r="EIU13" s="513"/>
      <c r="EIV13" s="513"/>
      <c r="EIW13" s="513"/>
      <c r="EIX13" s="513"/>
      <c r="EIY13" s="513"/>
      <c r="EIZ13" s="513"/>
      <c r="EJA13" s="513"/>
      <c r="EJB13" s="513"/>
      <c r="EJC13" s="513"/>
      <c r="EJD13" s="513"/>
      <c r="EJE13" s="513"/>
      <c r="EJF13" s="513"/>
      <c r="EJG13" s="513"/>
      <c r="EJH13" s="513"/>
      <c r="EJI13" s="513"/>
      <c r="EJJ13" s="513"/>
      <c r="EJK13" s="513"/>
      <c r="EJL13" s="513"/>
      <c r="EJM13" s="513"/>
      <c r="EJN13" s="513"/>
      <c r="EJO13" s="513"/>
      <c r="EJP13" s="513"/>
      <c r="EJQ13" s="513"/>
      <c r="EJR13" s="513"/>
      <c r="EJS13" s="513"/>
      <c r="EJT13" s="513"/>
      <c r="EJU13" s="513"/>
      <c r="EJV13" s="513"/>
      <c r="EJW13" s="513"/>
      <c r="EJX13" s="513"/>
      <c r="EJY13" s="513"/>
      <c r="EJZ13" s="513"/>
      <c r="EKA13" s="513"/>
      <c r="EKB13" s="513"/>
      <c r="EKC13" s="513"/>
      <c r="EKD13" s="513"/>
      <c r="EKE13" s="513"/>
      <c r="EKF13" s="513"/>
      <c r="EKG13" s="513"/>
      <c r="EKH13" s="513"/>
      <c r="EKI13" s="513"/>
      <c r="EKJ13" s="513"/>
      <c r="EKK13" s="513"/>
      <c r="EKL13" s="513"/>
      <c r="EKM13" s="513"/>
      <c r="EKN13" s="513"/>
      <c r="EKO13" s="513"/>
      <c r="EKP13" s="513"/>
      <c r="EKQ13" s="513"/>
      <c r="EKR13" s="513"/>
      <c r="EKS13" s="513"/>
      <c r="EKT13" s="513"/>
      <c r="EKU13" s="513"/>
      <c r="EKV13" s="513"/>
      <c r="EKW13" s="513"/>
      <c r="EKX13" s="513"/>
      <c r="EKY13" s="513"/>
      <c r="EKZ13" s="513"/>
      <c r="ELA13" s="513"/>
      <c r="ELB13" s="513"/>
      <c r="ELC13" s="513"/>
      <c r="ELD13" s="513"/>
      <c r="ELE13" s="513"/>
      <c r="ELF13" s="513"/>
      <c r="ELG13" s="513"/>
      <c r="ELH13" s="513"/>
      <c r="ELI13" s="513"/>
      <c r="ELJ13" s="513"/>
      <c r="ELK13" s="513"/>
      <c r="ELL13" s="513"/>
      <c r="ELM13" s="513"/>
      <c r="ELN13" s="513"/>
      <c r="ELO13" s="513"/>
      <c r="ELP13" s="513"/>
      <c r="ELQ13" s="513"/>
      <c r="ELR13" s="513"/>
      <c r="ELS13" s="513"/>
      <c r="ELT13" s="513"/>
      <c r="ELU13" s="513"/>
      <c r="ELV13" s="513"/>
      <c r="ELW13" s="513"/>
      <c r="ELX13" s="513"/>
      <c r="ELY13" s="513"/>
      <c r="ELZ13" s="513"/>
      <c r="EMA13" s="513"/>
      <c r="EMB13" s="513"/>
      <c r="EMC13" s="513"/>
      <c r="EMD13" s="513"/>
      <c r="EME13" s="513"/>
      <c r="EMF13" s="513"/>
      <c r="EMG13" s="513"/>
      <c r="EMH13" s="513"/>
      <c r="EMI13" s="513"/>
      <c r="EMJ13" s="513"/>
      <c r="EMK13" s="513"/>
      <c r="EML13" s="513"/>
      <c r="EMM13" s="513"/>
      <c r="EMN13" s="513"/>
      <c r="EMO13" s="513"/>
      <c r="EMP13" s="513"/>
      <c r="EMQ13" s="513"/>
      <c r="EMR13" s="513"/>
      <c r="EMS13" s="513"/>
      <c r="EMT13" s="513"/>
      <c r="EMU13" s="513"/>
      <c r="EMV13" s="513"/>
      <c r="EMW13" s="513"/>
      <c r="EMX13" s="513"/>
      <c r="EMY13" s="513"/>
      <c r="EMZ13" s="513"/>
      <c r="ENA13" s="513"/>
      <c r="ENB13" s="513"/>
      <c r="ENC13" s="513"/>
      <c r="END13" s="513"/>
      <c r="ENE13" s="513"/>
      <c r="ENF13" s="513"/>
      <c r="ENG13" s="513"/>
      <c r="ENH13" s="513"/>
      <c r="ENI13" s="513"/>
      <c r="ENJ13" s="513"/>
      <c r="ENK13" s="513"/>
      <c r="ENL13" s="513"/>
      <c r="ENM13" s="513"/>
      <c r="ENN13" s="513"/>
      <c r="ENO13" s="513"/>
      <c r="ENP13" s="513"/>
      <c r="ENQ13" s="513"/>
      <c r="ENR13" s="513"/>
      <c r="ENS13" s="513"/>
      <c r="ENT13" s="513"/>
      <c r="ENU13" s="513"/>
      <c r="ENV13" s="513"/>
      <c r="ENW13" s="513"/>
      <c r="ENX13" s="513"/>
      <c r="ENY13" s="513"/>
      <c r="ENZ13" s="513"/>
      <c r="EOA13" s="513"/>
      <c r="EOB13" s="513"/>
      <c r="EOC13" s="513"/>
      <c r="EOD13" s="513"/>
      <c r="EOE13" s="513"/>
      <c r="EOF13" s="513"/>
      <c r="EOG13" s="513"/>
      <c r="EOH13" s="513"/>
      <c r="EOI13" s="513"/>
      <c r="EOJ13" s="513"/>
      <c r="EOK13" s="513"/>
      <c r="EOL13" s="513"/>
      <c r="EOM13" s="513"/>
      <c r="EON13" s="513"/>
      <c r="EOO13" s="513"/>
      <c r="EOP13" s="513"/>
      <c r="EOQ13" s="513"/>
      <c r="EOR13" s="513"/>
      <c r="EOS13" s="513"/>
      <c r="EOT13" s="513"/>
      <c r="EOU13" s="513"/>
      <c r="EOV13" s="513"/>
      <c r="EOW13" s="513"/>
      <c r="EOX13" s="513"/>
      <c r="EOY13" s="513"/>
      <c r="EOZ13" s="513"/>
      <c r="EPA13" s="513"/>
      <c r="EPB13" s="513"/>
      <c r="EPC13" s="513"/>
      <c r="EPD13" s="513"/>
      <c r="EPE13" s="513"/>
      <c r="EPF13" s="513"/>
      <c r="EPG13" s="513"/>
      <c r="EPH13" s="513"/>
      <c r="EPI13" s="513"/>
      <c r="EPJ13" s="513"/>
      <c r="EPK13" s="513"/>
      <c r="EPL13" s="513"/>
      <c r="EPM13" s="513"/>
      <c r="EPN13" s="513"/>
      <c r="EPO13" s="513"/>
      <c r="EPP13" s="513"/>
      <c r="EPQ13" s="513"/>
      <c r="EPR13" s="513"/>
      <c r="EPS13" s="513"/>
      <c r="EPT13" s="513"/>
      <c r="EPU13" s="513"/>
      <c r="EPV13" s="513"/>
      <c r="EPW13" s="513"/>
      <c r="EPX13" s="513"/>
      <c r="EPY13" s="513"/>
      <c r="EPZ13" s="513"/>
      <c r="EQA13" s="513"/>
      <c r="EQB13" s="513"/>
      <c r="EQC13" s="513"/>
      <c r="EQD13" s="513"/>
      <c r="EQE13" s="513"/>
      <c r="EQF13" s="513"/>
      <c r="EQG13" s="513"/>
      <c r="EQH13" s="513"/>
      <c r="EQI13" s="513"/>
      <c r="EQJ13" s="513"/>
      <c r="EQK13" s="513"/>
      <c r="EQL13" s="513"/>
      <c r="EQM13" s="513"/>
      <c r="EQN13" s="513"/>
      <c r="EQO13" s="513"/>
      <c r="EQP13" s="513"/>
      <c r="EQQ13" s="513"/>
      <c r="EQR13" s="513"/>
      <c r="EQS13" s="513"/>
      <c r="EQT13" s="513"/>
      <c r="EQU13" s="513"/>
      <c r="EQV13" s="513"/>
      <c r="EQW13" s="513"/>
      <c r="EQX13" s="513"/>
      <c r="EQY13" s="513"/>
      <c r="EQZ13" s="513"/>
      <c r="ERA13" s="513"/>
      <c r="ERB13" s="513"/>
      <c r="ERC13" s="513"/>
      <c r="ERD13" s="513"/>
      <c r="ERE13" s="513"/>
      <c r="ERF13" s="513"/>
      <c r="ERG13" s="513"/>
      <c r="ERH13" s="513"/>
      <c r="ERI13" s="513"/>
      <c r="ERJ13" s="513"/>
      <c r="ERK13" s="513"/>
      <c r="ERL13" s="513"/>
      <c r="ERM13" s="513"/>
      <c r="ERN13" s="513"/>
      <c r="ERO13" s="513"/>
      <c r="ERP13" s="513"/>
      <c r="ERQ13" s="513"/>
      <c r="ERR13" s="513"/>
      <c r="ERS13" s="513"/>
      <c r="ERT13" s="513"/>
      <c r="ERU13" s="513"/>
      <c r="ERV13" s="513"/>
      <c r="ERW13" s="513"/>
      <c r="ERX13" s="513"/>
      <c r="ERY13" s="513"/>
      <c r="ERZ13" s="513"/>
      <c r="ESA13" s="513"/>
      <c r="ESB13" s="513"/>
      <c r="ESC13" s="513"/>
      <c r="ESD13" s="513"/>
      <c r="ESE13" s="513"/>
      <c r="ESF13" s="513"/>
      <c r="ESG13" s="513"/>
      <c r="ESH13" s="513"/>
      <c r="ESI13" s="513"/>
      <c r="ESJ13" s="513"/>
      <c r="ESK13" s="513"/>
      <c r="ESL13" s="513"/>
      <c r="ESM13" s="513"/>
      <c r="ESN13" s="513"/>
      <c r="ESO13" s="513"/>
      <c r="ESP13" s="513"/>
      <c r="ESQ13" s="513"/>
      <c r="ESR13" s="513"/>
      <c r="ESS13" s="513"/>
      <c r="EST13" s="513"/>
      <c r="ESU13" s="513"/>
      <c r="ESV13" s="513"/>
      <c r="ESW13" s="513"/>
      <c r="ESX13" s="513"/>
      <c r="ESY13" s="513"/>
      <c r="ESZ13" s="513"/>
      <c r="ETA13" s="513"/>
      <c r="ETB13" s="513"/>
      <c r="ETC13" s="513"/>
      <c r="ETD13" s="513"/>
      <c r="ETE13" s="513"/>
      <c r="ETF13" s="513"/>
      <c r="ETG13" s="513"/>
      <c r="ETH13" s="513"/>
      <c r="ETI13" s="513"/>
      <c r="ETJ13" s="513"/>
      <c r="ETK13" s="513"/>
      <c r="ETL13" s="513"/>
      <c r="ETM13" s="513"/>
      <c r="ETN13" s="513"/>
      <c r="ETO13" s="513"/>
      <c r="ETP13" s="513"/>
      <c r="ETQ13" s="513"/>
      <c r="ETR13" s="513"/>
      <c r="ETS13" s="513"/>
      <c r="ETT13" s="513"/>
      <c r="ETU13" s="513"/>
      <c r="ETV13" s="513"/>
      <c r="ETW13" s="513"/>
      <c r="ETX13" s="513"/>
      <c r="ETY13" s="513"/>
      <c r="ETZ13" s="513"/>
      <c r="EUA13" s="513"/>
      <c r="EUB13" s="513"/>
      <c r="EUC13" s="513"/>
      <c r="EUD13" s="513"/>
      <c r="EUE13" s="513"/>
      <c r="EUF13" s="513"/>
      <c r="EUG13" s="513"/>
      <c r="EUH13" s="513"/>
      <c r="EUI13" s="513"/>
      <c r="EUJ13" s="513"/>
      <c r="EUK13" s="513"/>
      <c r="EUL13" s="513"/>
      <c r="EUM13" s="513"/>
      <c r="EUN13" s="513"/>
      <c r="EUO13" s="513"/>
      <c r="EUP13" s="513"/>
      <c r="EUQ13" s="513"/>
      <c r="EUR13" s="513"/>
      <c r="EUS13" s="513"/>
      <c r="EUT13" s="513"/>
      <c r="EUU13" s="513"/>
      <c r="EUV13" s="513"/>
      <c r="EUW13" s="513"/>
      <c r="EUX13" s="513"/>
      <c r="EUY13" s="513"/>
      <c r="EUZ13" s="513"/>
      <c r="EVA13" s="513"/>
      <c r="EVB13" s="513"/>
      <c r="EVC13" s="513"/>
      <c r="EVD13" s="513"/>
      <c r="EVE13" s="513"/>
      <c r="EVF13" s="513"/>
      <c r="EVG13" s="513"/>
      <c r="EVH13" s="513"/>
      <c r="EVI13" s="513"/>
      <c r="EVJ13" s="513"/>
      <c r="EVK13" s="513"/>
      <c r="EVL13" s="513"/>
      <c r="EVM13" s="513"/>
      <c r="EVN13" s="513"/>
      <c r="EVO13" s="513"/>
      <c r="EVP13" s="513"/>
      <c r="EVQ13" s="513"/>
      <c r="EVR13" s="513"/>
      <c r="EVS13" s="513"/>
      <c r="EVT13" s="513"/>
      <c r="EVU13" s="513"/>
      <c r="EVV13" s="513"/>
      <c r="EVW13" s="513"/>
      <c r="EVX13" s="513"/>
      <c r="EVY13" s="513"/>
      <c r="EVZ13" s="513"/>
      <c r="EWA13" s="513"/>
      <c r="EWB13" s="513"/>
      <c r="EWC13" s="513"/>
      <c r="EWD13" s="513"/>
      <c r="EWE13" s="513"/>
      <c r="EWF13" s="513"/>
      <c r="EWG13" s="513"/>
      <c r="EWH13" s="513"/>
      <c r="EWI13" s="513"/>
      <c r="EWJ13" s="513"/>
      <c r="EWK13" s="513"/>
      <c r="EWL13" s="513"/>
      <c r="EWM13" s="513"/>
      <c r="EWN13" s="513"/>
      <c r="EWO13" s="513"/>
      <c r="EWP13" s="513"/>
      <c r="EWQ13" s="513"/>
      <c r="EWR13" s="513"/>
      <c r="EWS13" s="513"/>
      <c r="EWT13" s="513"/>
      <c r="EWU13" s="513"/>
      <c r="EWV13" s="513"/>
      <c r="EWW13" s="513"/>
      <c r="EWX13" s="513"/>
      <c r="EWY13" s="513"/>
      <c r="EWZ13" s="513"/>
      <c r="EXA13" s="513"/>
      <c r="EXB13" s="513"/>
      <c r="EXC13" s="513"/>
      <c r="EXD13" s="513"/>
      <c r="EXE13" s="513"/>
      <c r="EXF13" s="513"/>
      <c r="EXG13" s="513"/>
      <c r="EXH13" s="513"/>
      <c r="EXI13" s="513"/>
      <c r="EXJ13" s="513"/>
      <c r="EXK13" s="513"/>
      <c r="EXL13" s="513"/>
      <c r="EXM13" s="513"/>
      <c r="EXN13" s="513"/>
      <c r="EXO13" s="513"/>
      <c r="EXP13" s="513"/>
      <c r="EXQ13" s="513"/>
      <c r="EXR13" s="513"/>
      <c r="EXS13" s="513"/>
      <c r="EXT13" s="513"/>
      <c r="EXU13" s="513"/>
      <c r="EXV13" s="513"/>
      <c r="EXW13" s="513"/>
      <c r="EXX13" s="513"/>
      <c r="EXY13" s="513"/>
      <c r="EXZ13" s="513"/>
      <c r="EYA13" s="513"/>
      <c r="EYB13" s="513"/>
      <c r="EYC13" s="513"/>
      <c r="EYD13" s="513"/>
      <c r="EYE13" s="513"/>
      <c r="EYF13" s="513"/>
      <c r="EYG13" s="513"/>
      <c r="EYH13" s="513"/>
      <c r="EYI13" s="513"/>
      <c r="EYJ13" s="513"/>
      <c r="EYK13" s="513"/>
      <c r="EYL13" s="513"/>
      <c r="EYM13" s="513"/>
      <c r="EYN13" s="513"/>
      <c r="EYO13" s="513"/>
      <c r="EYP13" s="513"/>
      <c r="EYQ13" s="513"/>
      <c r="EYR13" s="513"/>
      <c r="EYS13" s="513"/>
      <c r="EYT13" s="513"/>
      <c r="EYU13" s="513"/>
      <c r="EYV13" s="513"/>
      <c r="EYW13" s="513"/>
      <c r="EYX13" s="513"/>
      <c r="EYY13" s="513"/>
      <c r="EYZ13" s="513"/>
      <c r="EZA13" s="513"/>
      <c r="EZB13" s="513"/>
      <c r="EZC13" s="513"/>
      <c r="EZD13" s="513"/>
      <c r="EZE13" s="513"/>
      <c r="EZF13" s="513"/>
      <c r="EZG13" s="513"/>
      <c r="EZH13" s="513"/>
      <c r="EZI13" s="513"/>
      <c r="EZJ13" s="513"/>
      <c r="EZK13" s="513"/>
      <c r="EZL13" s="513"/>
      <c r="EZM13" s="513"/>
      <c r="EZN13" s="513"/>
      <c r="EZO13" s="513"/>
      <c r="EZP13" s="513"/>
      <c r="EZQ13" s="513"/>
      <c r="EZR13" s="513"/>
      <c r="EZS13" s="513"/>
      <c r="EZT13" s="513"/>
      <c r="EZU13" s="513"/>
      <c r="EZV13" s="513"/>
      <c r="EZW13" s="513"/>
      <c r="EZX13" s="513"/>
      <c r="EZY13" s="513"/>
      <c r="EZZ13" s="513"/>
      <c r="FAA13" s="513"/>
      <c r="FAB13" s="513"/>
      <c r="FAC13" s="513"/>
      <c r="FAD13" s="513"/>
      <c r="FAE13" s="513"/>
      <c r="FAF13" s="513"/>
      <c r="FAG13" s="513"/>
      <c r="FAH13" s="513"/>
      <c r="FAI13" s="513"/>
      <c r="FAJ13" s="513"/>
      <c r="FAK13" s="513"/>
      <c r="FAL13" s="513"/>
      <c r="FAM13" s="513"/>
      <c r="FAN13" s="513"/>
      <c r="FAO13" s="513"/>
      <c r="FAP13" s="513"/>
      <c r="FAQ13" s="513"/>
      <c r="FAR13" s="513"/>
      <c r="FAS13" s="513"/>
      <c r="FAT13" s="513"/>
      <c r="FAU13" s="513"/>
      <c r="FAV13" s="513"/>
      <c r="FAW13" s="513"/>
      <c r="FAX13" s="513"/>
      <c r="FAY13" s="513"/>
      <c r="FAZ13" s="513"/>
      <c r="FBA13" s="513"/>
      <c r="FBB13" s="513"/>
      <c r="FBC13" s="513"/>
      <c r="FBD13" s="513"/>
      <c r="FBE13" s="513"/>
      <c r="FBF13" s="513"/>
      <c r="FBG13" s="513"/>
      <c r="FBH13" s="513"/>
      <c r="FBI13" s="513"/>
      <c r="FBJ13" s="513"/>
      <c r="FBK13" s="513"/>
      <c r="FBL13" s="513"/>
      <c r="FBM13" s="513"/>
      <c r="FBN13" s="513"/>
      <c r="FBO13" s="513"/>
      <c r="FBP13" s="513"/>
      <c r="FBQ13" s="513"/>
      <c r="FBR13" s="513"/>
      <c r="FBS13" s="513"/>
      <c r="FBT13" s="513"/>
      <c r="FBU13" s="513"/>
      <c r="FBV13" s="513"/>
      <c r="FBW13" s="513"/>
      <c r="FBX13" s="513"/>
      <c r="FBY13" s="513"/>
      <c r="FBZ13" s="513"/>
      <c r="FCA13" s="513"/>
      <c r="FCB13" s="513"/>
      <c r="FCC13" s="513"/>
      <c r="FCD13" s="513"/>
      <c r="FCE13" s="513"/>
      <c r="FCF13" s="513"/>
      <c r="FCG13" s="513"/>
      <c r="FCH13" s="513"/>
      <c r="FCI13" s="513"/>
      <c r="FCJ13" s="513"/>
      <c r="FCK13" s="513"/>
      <c r="FCL13" s="513"/>
      <c r="FCM13" s="513"/>
      <c r="FCN13" s="513"/>
      <c r="FCO13" s="513"/>
      <c r="FCP13" s="513"/>
      <c r="FCQ13" s="513"/>
      <c r="FCR13" s="513"/>
      <c r="FCS13" s="513"/>
      <c r="FCT13" s="513"/>
      <c r="FCU13" s="513"/>
      <c r="FCV13" s="513"/>
      <c r="FCW13" s="513"/>
      <c r="FCX13" s="513"/>
      <c r="FCY13" s="513"/>
      <c r="FCZ13" s="513"/>
      <c r="FDA13" s="513"/>
      <c r="FDB13" s="513"/>
      <c r="FDC13" s="513"/>
      <c r="FDD13" s="513"/>
      <c r="FDE13" s="513"/>
      <c r="FDF13" s="513"/>
      <c r="FDG13" s="513"/>
      <c r="FDH13" s="513"/>
      <c r="FDI13" s="513"/>
      <c r="FDJ13" s="513"/>
      <c r="FDK13" s="513"/>
      <c r="FDL13" s="513"/>
      <c r="FDM13" s="513"/>
      <c r="FDN13" s="513"/>
      <c r="FDO13" s="513"/>
      <c r="FDP13" s="513"/>
      <c r="FDQ13" s="513"/>
      <c r="FDR13" s="513"/>
      <c r="FDS13" s="513"/>
      <c r="FDT13" s="513"/>
      <c r="FDU13" s="513"/>
      <c r="FDV13" s="513"/>
      <c r="FDW13" s="513"/>
      <c r="FDX13" s="513"/>
      <c r="FDY13" s="513"/>
      <c r="FDZ13" s="513"/>
      <c r="FEA13" s="513"/>
      <c r="FEB13" s="513"/>
      <c r="FEC13" s="513"/>
      <c r="FED13" s="513"/>
      <c r="FEE13" s="513"/>
      <c r="FEF13" s="513"/>
      <c r="FEG13" s="513"/>
      <c r="FEH13" s="513"/>
      <c r="FEI13" s="513"/>
      <c r="FEJ13" s="513"/>
      <c r="FEK13" s="513"/>
      <c r="FEL13" s="513"/>
      <c r="FEM13" s="513"/>
      <c r="FEN13" s="513"/>
      <c r="FEO13" s="513"/>
      <c r="FEP13" s="513"/>
      <c r="FEQ13" s="513"/>
      <c r="FER13" s="513"/>
      <c r="FES13" s="513"/>
      <c r="FET13" s="513"/>
      <c r="FEU13" s="513"/>
      <c r="FEV13" s="513"/>
      <c r="FEW13" s="513"/>
      <c r="FEX13" s="513"/>
      <c r="FEY13" s="513"/>
      <c r="FEZ13" s="513"/>
      <c r="FFA13" s="513"/>
      <c r="FFB13" s="513"/>
      <c r="FFC13" s="513"/>
      <c r="FFD13" s="513"/>
      <c r="FFE13" s="513"/>
      <c r="FFF13" s="513"/>
      <c r="FFG13" s="513"/>
      <c r="FFH13" s="513"/>
      <c r="FFI13" s="513"/>
      <c r="FFJ13" s="513"/>
      <c r="FFK13" s="513"/>
      <c r="FFL13" s="513"/>
      <c r="FFM13" s="513"/>
      <c r="FFN13" s="513"/>
      <c r="FFO13" s="513"/>
      <c r="FFP13" s="513"/>
      <c r="FFQ13" s="513"/>
      <c r="FFR13" s="513"/>
      <c r="FFS13" s="513"/>
      <c r="FFT13" s="513"/>
      <c r="FFU13" s="513"/>
      <c r="FFV13" s="513"/>
      <c r="FFW13" s="513"/>
      <c r="FFX13" s="513"/>
      <c r="FFY13" s="513"/>
      <c r="FFZ13" s="513"/>
      <c r="FGA13" s="513"/>
      <c r="FGB13" s="513"/>
      <c r="FGC13" s="513"/>
      <c r="FGD13" s="513"/>
      <c r="FGE13" s="513"/>
      <c r="FGF13" s="513"/>
      <c r="FGG13" s="513"/>
      <c r="FGH13" s="513"/>
      <c r="FGI13" s="513"/>
      <c r="FGJ13" s="513"/>
      <c r="FGK13" s="513"/>
      <c r="FGL13" s="513"/>
      <c r="FGM13" s="513"/>
      <c r="FGN13" s="513"/>
      <c r="FGO13" s="513"/>
      <c r="FGP13" s="513"/>
      <c r="FGQ13" s="513"/>
      <c r="FGR13" s="513"/>
      <c r="FGS13" s="513"/>
      <c r="FGT13" s="513"/>
      <c r="FGU13" s="513"/>
      <c r="FGV13" s="513"/>
      <c r="FGW13" s="513"/>
      <c r="FGX13" s="513"/>
      <c r="FGY13" s="513"/>
      <c r="FGZ13" s="513"/>
      <c r="FHA13" s="513"/>
      <c r="FHB13" s="513"/>
      <c r="FHC13" s="513"/>
      <c r="FHD13" s="513"/>
      <c r="FHE13" s="513"/>
      <c r="FHF13" s="513"/>
      <c r="FHG13" s="513"/>
      <c r="FHH13" s="513"/>
      <c r="FHI13" s="513"/>
      <c r="FHJ13" s="513"/>
      <c r="FHK13" s="513"/>
      <c r="FHL13" s="513"/>
      <c r="FHM13" s="513"/>
      <c r="FHN13" s="513"/>
      <c r="FHO13" s="513"/>
      <c r="FHP13" s="513"/>
      <c r="FHQ13" s="513"/>
      <c r="FHR13" s="513"/>
      <c r="FHS13" s="513"/>
      <c r="FHT13" s="513"/>
      <c r="FHU13" s="513"/>
      <c r="FHV13" s="513"/>
      <c r="FHW13" s="513"/>
      <c r="FHX13" s="513"/>
      <c r="FHY13" s="513"/>
      <c r="FHZ13" s="513"/>
      <c r="FIA13" s="513"/>
      <c r="FIB13" s="513"/>
      <c r="FIC13" s="513"/>
      <c r="FID13" s="513"/>
      <c r="FIE13" s="513"/>
      <c r="FIF13" s="513"/>
      <c r="FIG13" s="513"/>
      <c r="FIH13" s="513"/>
      <c r="FII13" s="513"/>
      <c r="FIJ13" s="513"/>
      <c r="FIK13" s="513"/>
      <c r="FIL13" s="513"/>
      <c r="FIM13" s="513"/>
      <c r="FIN13" s="513"/>
      <c r="FIO13" s="513"/>
      <c r="FIP13" s="513"/>
      <c r="FIQ13" s="513"/>
      <c r="FIR13" s="513"/>
      <c r="FIS13" s="513"/>
      <c r="FIT13" s="513"/>
      <c r="FIU13" s="513"/>
      <c r="FIV13" s="513"/>
      <c r="FIW13" s="513"/>
      <c r="FIX13" s="513"/>
      <c r="FIY13" s="513"/>
      <c r="FIZ13" s="513"/>
      <c r="FJA13" s="513"/>
      <c r="FJB13" s="513"/>
      <c r="FJC13" s="513"/>
      <c r="FJD13" s="513"/>
      <c r="FJE13" s="513"/>
      <c r="FJF13" s="513"/>
      <c r="FJG13" s="513"/>
      <c r="FJH13" s="513"/>
      <c r="FJI13" s="513"/>
      <c r="FJJ13" s="513"/>
      <c r="FJK13" s="513"/>
      <c r="FJL13" s="513"/>
      <c r="FJM13" s="513"/>
      <c r="FJN13" s="513"/>
      <c r="FJO13" s="513"/>
      <c r="FJP13" s="513"/>
      <c r="FJQ13" s="513"/>
      <c r="FJR13" s="513"/>
      <c r="FJS13" s="513"/>
      <c r="FJT13" s="513"/>
      <c r="FJU13" s="513"/>
      <c r="FJV13" s="513"/>
      <c r="FJW13" s="513"/>
      <c r="FJX13" s="513"/>
      <c r="FJY13" s="513"/>
      <c r="FJZ13" s="513"/>
      <c r="FKA13" s="513"/>
      <c r="FKB13" s="513"/>
      <c r="FKC13" s="513"/>
      <c r="FKD13" s="513"/>
      <c r="FKE13" s="513"/>
      <c r="FKF13" s="513"/>
      <c r="FKG13" s="513"/>
      <c r="FKH13" s="513"/>
      <c r="FKI13" s="513"/>
      <c r="FKJ13" s="513"/>
      <c r="FKK13" s="513"/>
      <c r="FKL13" s="513"/>
      <c r="FKM13" s="513"/>
      <c r="FKN13" s="513"/>
      <c r="FKO13" s="513"/>
      <c r="FKP13" s="513"/>
      <c r="FKQ13" s="513"/>
      <c r="FKR13" s="513"/>
      <c r="FKS13" s="513"/>
      <c r="FKT13" s="513"/>
      <c r="FKU13" s="513"/>
      <c r="FKV13" s="513"/>
      <c r="FKW13" s="513"/>
      <c r="FKX13" s="513"/>
      <c r="FKY13" s="513"/>
      <c r="FKZ13" s="513"/>
      <c r="FLA13" s="513"/>
      <c r="FLB13" s="513"/>
      <c r="FLC13" s="513"/>
      <c r="FLD13" s="513"/>
      <c r="FLE13" s="513"/>
      <c r="FLF13" s="513"/>
      <c r="FLG13" s="513"/>
      <c r="FLH13" s="513"/>
      <c r="FLI13" s="513"/>
      <c r="FLJ13" s="513"/>
      <c r="FLK13" s="513"/>
      <c r="FLL13" s="513"/>
      <c r="FLM13" s="513"/>
      <c r="FLN13" s="513"/>
      <c r="FLO13" s="513"/>
      <c r="FLP13" s="513"/>
      <c r="FLQ13" s="513"/>
      <c r="FLR13" s="513"/>
      <c r="FLS13" s="513"/>
      <c r="FLT13" s="513"/>
      <c r="FLU13" s="513"/>
      <c r="FLV13" s="513"/>
      <c r="FLW13" s="513"/>
      <c r="FLX13" s="513"/>
      <c r="FLY13" s="513"/>
      <c r="FLZ13" s="513"/>
      <c r="FMA13" s="513"/>
      <c r="FMB13" s="513"/>
      <c r="FMC13" s="513"/>
      <c r="FMD13" s="513"/>
      <c r="FME13" s="513"/>
      <c r="FMF13" s="513"/>
      <c r="FMG13" s="513"/>
      <c r="FMH13" s="513"/>
      <c r="FMI13" s="513"/>
      <c r="FMJ13" s="513"/>
      <c r="FMK13" s="513"/>
      <c r="FML13" s="513"/>
      <c r="FMM13" s="513"/>
      <c r="FMN13" s="513"/>
      <c r="FMO13" s="513"/>
      <c r="FMP13" s="513"/>
      <c r="FMQ13" s="513"/>
      <c r="FMR13" s="513"/>
      <c r="FMS13" s="513"/>
      <c r="FMT13" s="513"/>
      <c r="FMU13" s="513"/>
      <c r="FMV13" s="513"/>
      <c r="FMW13" s="513"/>
      <c r="FMX13" s="513"/>
      <c r="FMY13" s="513"/>
      <c r="FMZ13" s="513"/>
      <c r="FNA13" s="513"/>
      <c r="FNB13" s="513"/>
      <c r="FNC13" s="513"/>
      <c r="FND13" s="513"/>
      <c r="FNE13" s="513"/>
      <c r="FNF13" s="513"/>
      <c r="FNG13" s="513"/>
      <c r="FNH13" s="513"/>
      <c r="FNI13" s="513"/>
      <c r="FNJ13" s="513"/>
      <c r="FNK13" s="513"/>
      <c r="FNL13" s="513"/>
      <c r="FNM13" s="513"/>
      <c r="FNN13" s="513"/>
      <c r="FNO13" s="513"/>
      <c r="FNP13" s="513"/>
      <c r="FNQ13" s="513"/>
      <c r="FNR13" s="513"/>
      <c r="FNS13" s="513"/>
      <c r="FNT13" s="513"/>
      <c r="FNU13" s="513"/>
      <c r="FNV13" s="513"/>
      <c r="FNW13" s="513"/>
      <c r="FNX13" s="513"/>
      <c r="FNY13" s="513"/>
      <c r="FNZ13" s="513"/>
      <c r="FOA13" s="513"/>
      <c r="FOB13" s="513"/>
      <c r="FOC13" s="513"/>
      <c r="FOD13" s="513"/>
      <c r="FOE13" s="513"/>
      <c r="FOF13" s="513"/>
      <c r="FOG13" s="513"/>
      <c r="FOH13" s="513"/>
      <c r="FOI13" s="513"/>
      <c r="FOJ13" s="513"/>
      <c r="FOK13" s="513"/>
      <c r="FOL13" s="513"/>
      <c r="FOM13" s="513"/>
      <c r="FON13" s="513"/>
      <c r="FOO13" s="513"/>
      <c r="FOP13" s="513"/>
      <c r="FOQ13" s="513"/>
      <c r="FOR13" s="513"/>
      <c r="FOS13" s="513"/>
      <c r="FOT13" s="513"/>
      <c r="FOU13" s="513"/>
      <c r="FOV13" s="513"/>
      <c r="FOW13" s="513"/>
      <c r="FOX13" s="513"/>
      <c r="FOY13" s="513"/>
      <c r="FOZ13" s="513"/>
      <c r="FPA13" s="513"/>
      <c r="FPB13" s="513"/>
      <c r="FPC13" s="513"/>
      <c r="FPD13" s="513"/>
      <c r="FPE13" s="513"/>
      <c r="FPF13" s="513"/>
      <c r="FPG13" s="513"/>
      <c r="FPH13" s="513"/>
      <c r="FPI13" s="513"/>
      <c r="FPJ13" s="513"/>
      <c r="FPK13" s="513"/>
      <c r="FPL13" s="513"/>
      <c r="FPM13" s="513"/>
      <c r="FPN13" s="513"/>
      <c r="FPO13" s="513"/>
      <c r="FPP13" s="513"/>
      <c r="FPQ13" s="513"/>
      <c r="FPR13" s="513"/>
      <c r="FPS13" s="513"/>
      <c r="FPT13" s="513"/>
      <c r="FPU13" s="513"/>
      <c r="FPV13" s="513"/>
      <c r="FPW13" s="513"/>
      <c r="FPX13" s="513"/>
      <c r="FPY13" s="513"/>
      <c r="FPZ13" s="513"/>
      <c r="FQA13" s="513"/>
      <c r="FQB13" s="513"/>
      <c r="FQC13" s="513"/>
      <c r="FQD13" s="513"/>
      <c r="FQE13" s="513"/>
      <c r="FQF13" s="513"/>
      <c r="FQG13" s="513"/>
      <c r="FQH13" s="513"/>
      <c r="FQI13" s="513"/>
      <c r="FQJ13" s="513"/>
      <c r="FQK13" s="513"/>
      <c r="FQL13" s="513"/>
      <c r="FQM13" s="513"/>
      <c r="FQN13" s="513"/>
      <c r="FQO13" s="513"/>
      <c r="FQP13" s="513"/>
      <c r="FQQ13" s="513"/>
      <c r="FQR13" s="513"/>
      <c r="FQS13" s="513"/>
      <c r="FQT13" s="513"/>
      <c r="FQU13" s="513"/>
      <c r="FQV13" s="513"/>
      <c r="FQW13" s="513"/>
      <c r="FQX13" s="513"/>
      <c r="FQY13" s="513"/>
      <c r="FQZ13" s="513"/>
      <c r="FRA13" s="513"/>
      <c r="FRB13" s="513"/>
      <c r="FRC13" s="513"/>
      <c r="FRD13" s="513"/>
      <c r="FRE13" s="513"/>
      <c r="FRF13" s="513"/>
      <c r="FRG13" s="513"/>
      <c r="FRH13" s="513"/>
      <c r="FRI13" s="513"/>
      <c r="FRJ13" s="513"/>
      <c r="FRK13" s="513"/>
      <c r="FRL13" s="513"/>
      <c r="FRM13" s="513"/>
      <c r="FRN13" s="513"/>
      <c r="FRO13" s="513"/>
      <c r="FRP13" s="513"/>
      <c r="FRQ13" s="513"/>
      <c r="FRR13" s="513"/>
      <c r="FRS13" s="513"/>
      <c r="FRT13" s="513"/>
      <c r="FRU13" s="513"/>
      <c r="FRV13" s="513"/>
      <c r="FRW13" s="513"/>
      <c r="FRX13" s="513"/>
      <c r="FRY13" s="513"/>
      <c r="FRZ13" s="513"/>
      <c r="FSA13" s="513"/>
      <c r="FSB13" s="513"/>
      <c r="FSC13" s="513"/>
      <c r="FSD13" s="513"/>
      <c r="FSE13" s="513"/>
      <c r="FSF13" s="513"/>
      <c r="FSG13" s="513"/>
      <c r="FSH13" s="513"/>
      <c r="FSI13" s="513"/>
      <c r="FSJ13" s="513"/>
      <c r="FSK13" s="513"/>
      <c r="FSL13" s="513"/>
      <c r="FSM13" s="513"/>
      <c r="FSN13" s="513"/>
      <c r="FSO13" s="513"/>
      <c r="FSP13" s="513"/>
      <c r="FSQ13" s="513"/>
      <c r="FSR13" s="513"/>
      <c r="FSS13" s="513"/>
      <c r="FST13" s="513"/>
      <c r="FSU13" s="513"/>
      <c r="FSV13" s="513"/>
      <c r="FSW13" s="513"/>
      <c r="FSX13" s="513"/>
      <c r="FSY13" s="513"/>
      <c r="FSZ13" s="513"/>
      <c r="FTA13" s="513"/>
      <c r="FTB13" s="513"/>
      <c r="FTC13" s="513"/>
      <c r="FTD13" s="513"/>
      <c r="FTE13" s="513"/>
      <c r="FTF13" s="513"/>
      <c r="FTG13" s="513"/>
      <c r="FTH13" s="513"/>
      <c r="FTI13" s="513"/>
      <c r="FTJ13" s="513"/>
      <c r="FTK13" s="513"/>
      <c r="FTL13" s="513"/>
      <c r="FTM13" s="513"/>
      <c r="FTN13" s="513"/>
      <c r="FTO13" s="513"/>
      <c r="FTP13" s="513"/>
      <c r="FTQ13" s="513"/>
      <c r="FTR13" s="513"/>
      <c r="FTS13" s="513"/>
      <c r="FTT13" s="513"/>
      <c r="FTU13" s="513"/>
      <c r="FTV13" s="513"/>
      <c r="FTW13" s="513"/>
      <c r="FTX13" s="513"/>
      <c r="FTY13" s="513"/>
      <c r="FTZ13" s="513"/>
      <c r="FUA13" s="513"/>
      <c r="FUB13" s="513"/>
      <c r="FUC13" s="513"/>
      <c r="FUD13" s="513"/>
      <c r="FUE13" s="513"/>
      <c r="FUF13" s="513"/>
      <c r="FUG13" s="513"/>
      <c r="FUH13" s="513"/>
      <c r="FUI13" s="513"/>
      <c r="FUJ13" s="513"/>
      <c r="FUK13" s="513"/>
      <c r="FUL13" s="513"/>
      <c r="FUM13" s="513"/>
      <c r="FUN13" s="513"/>
      <c r="FUO13" s="513"/>
      <c r="FUP13" s="513"/>
      <c r="FUQ13" s="513"/>
      <c r="FUR13" s="513"/>
      <c r="FUS13" s="513"/>
      <c r="FUT13" s="513"/>
      <c r="FUU13" s="513"/>
      <c r="FUV13" s="513"/>
      <c r="FUW13" s="513"/>
      <c r="FUX13" s="513"/>
      <c r="FUY13" s="513"/>
      <c r="FUZ13" s="513"/>
      <c r="FVA13" s="513"/>
      <c r="FVB13" s="513"/>
      <c r="FVC13" s="513"/>
      <c r="FVD13" s="513"/>
      <c r="FVE13" s="513"/>
      <c r="FVF13" s="513"/>
      <c r="FVG13" s="513"/>
      <c r="FVH13" s="513"/>
      <c r="FVI13" s="513"/>
      <c r="FVJ13" s="513"/>
      <c r="FVK13" s="513"/>
      <c r="FVL13" s="513"/>
      <c r="FVM13" s="513"/>
      <c r="FVN13" s="513"/>
      <c r="FVO13" s="513"/>
      <c r="FVP13" s="513"/>
      <c r="FVQ13" s="513"/>
      <c r="FVR13" s="513"/>
      <c r="FVS13" s="513"/>
      <c r="FVT13" s="513"/>
      <c r="FVU13" s="513"/>
      <c r="FVV13" s="513"/>
      <c r="FVW13" s="513"/>
      <c r="FVX13" s="513"/>
      <c r="FVY13" s="513"/>
      <c r="FVZ13" s="513"/>
      <c r="FWA13" s="513"/>
      <c r="FWB13" s="513"/>
      <c r="FWC13" s="513"/>
      <c r="FWD13" s="513"/>
      <c r="FWE13" s="513"/>
      <c r="FWF13" s="513"/>
      <c r="FWG13" s="513"/>
      <c r="FWH13" s="513"/>
      <c r="FWI13" s="513"/>
      <c r="FWJ13" s="513"/>
      <c r="FWK13" s="513"/>
      <c r="FWL13" s="513"/>
      <c r="FWM13" s="513"/>
      <c r="FWN13" s="513"/>
      <c r="FWO13" s="513"/>
      <c r="FWP13" s="513"/>
      <c r="FWQ13" s="513"/>
      <c r="FWR13" s="513"/>
      <c r="FWS13" s="513"/>
      <c r="FWT13" s="513"/>
      <c r="FWU13" s="513"/>
      <c r="FWV13" s="513"/>
      <c r="FWW13" s="513"/>
      <c r="FWX13" s="513"/>
      <c r="FWY13" s="513"/>
      <c r="FWZ13" s="513"/>
      <c r="FXA13" s="513"/>
      <c r="FXB13" s="513"/>
      <c r="FXC13" s="513"/>
      <c r="FXD13" s="513"/>
      <c r="FXE13" s="513"/>
      <c r="FXF13" s="513"/>
      <c r="FXG13" s="513"/>
      <c r="FXH13" s="513"/>
      <c r="FXI13" s="513"/>
      <c r="FXJ13" s="513"/>
      <c r="FXK13" s="513"/>
      <c r="FXL13" s="513"/>
      <c r="FXM13" s="513"/>
      <c r="FXN13" s="513"/>
      <c r="FXO13" s="513"/>
      <c r="FXP13" s="513"/>
      <c r="FXQ13" s="513"/>
      <c r="FXR13" s="513"/>
      <c r="FXS13" s="513"/>
      <c r="FXT13" s="513"/>
      <c r="FXU13" s="513"/>
      <c r="FXV13" s="513"/>
      <c r="FXW13" s="513"/>
      <c r="FXX13" s="513"/>
      <c r="FXY13" s="513"/>
      <c r="FXZ13" s="513"/>
      <c r="FYA13" s="513"/>
      <c r="FYB13" s="513"/>
      <c r="FYC13" s="513"/>
      <c r="FYD13" s="513"/>
      <c r="FYE13" s="513"/>
      <c r="FYF13" s="513"/>
      <c r="FYG13" s="513"/>
      <c r="FYH13" s="513"/>
      <c r="FYI13" s="513"/>
      <c r="FYJ13" s="513"/>
      <c r="FYK13" s="513"/>
      <c r="FYL13" s="513"/>
      <c r="FYM13" s="513"/>
      <c r="FYN13" s="513"/>
      <c r="FYO13" s="513"/>
      <c r="FYP13" s="513"/>
      <c r="FYQ13" s="513"/>
      <c r="FYR13" s="513"/>
      <c r="FYS13" s="513"/>
      <c r="FYT13" s="513"/>
      <c r="FYU13" s="513"/>
      <c r="FYV13" s="513"/>
      <c r="FYW13" s="513"/>
      <c r="FYX13" s="513"/>
      <c r="FYY13" s="513"/>
      <c r="FYZ13" s="513"/>
      <c r="FZA13" s="513"/>
      <c r="FZB13" s="513"/>
      <c r="FZC13" s="513"/>
      <c r="FZD13" s="513"/>
      <c r="FZE13" s="513"/>
      <c r="FZF13" s="513"/>
      <c r="FZG13" s="513"/>
      <c r="FZH13" s="513"/>
      <c r="FZI13" s="513"/>
      <c r="FZJ13" s="513"/>
      <c r="FZK13" s="513"/>
      <c r="FZL13" s="513"/>
      <c r="FZM13" s="513"/>
      <c r="FZN13" s="513"/>
      <c r="FZO13" s="513"/>
      <c r="FZP13" s="513"/>
      <c r="FZQ13" s="513"/>
      <c r="FZR13" s="513"/>
      <c r="FZS13" s="513"/>
      <c r="FZT13" s="513"/>
      <c r="FZU13" s="513"/>
      <c r="FZV13" s="513"/>
      <c r="FZW13" s="513"/>
      <c r="FZX13" s="513"/>
      <c r="FZY13" s="513"/>
      <c r="FZZ13" s="513"/>
      <c r="GAA13" s="513"/>
      <c r="GAB13" s="513"/>
      <c r="GAC13" s="513"/>
      <c r="GAD13" s="513"/>
      <c r="GAE13" s="513"/>
      <c r="GAF13" s="513"/>
      <c r="GAG13" s="513"/>
      <c r="GAH13" s="513"/>
      <c r="GAI13" s="513"/>
      <c r="GAJ13" s="513"/>
      <c r="GAK13" s="513"/>
      <c r="GAL13" s="513"/>
      <c r="GAM13" s="513"/>
      <c r="GAN13" s="513"/>
      <c r="GAO13" s="513"/>
      <c r="GAP13" s="513"/>
      <c r="GAQ13" s="513"/>
      <c r="GAR13" s="513"/>
      <c r="GAS13" s="513"/>
      <c r="GAT13" s="513"/>
      <c r="GAU13" s="513"/>
      <c r="GAV13" s="513"/>
      <c r="GAW13" s="513"/>
      <c r="GAX13" s="513"/>
      <c r="GAY13" s="513"/>
      <c r="GAZ13" s="513"/>
      <c r="GBA13" s="513"/>
      <c r="GBB13" s="513"/>
      <c r="GBC13" s="513"/>
      <c r="GBD13" s="513"/>
      <c r="GBE13" s="513"/>
      <c r="GBF13" s="513"/>
      <c r="GBG13" s="513"/>
      <c r="GBH13" s="513"/>
      <c r="GBI13" s="513"/>
      <c r="GBJ13" s="513"/>
      <c r="GBK13" s="513"/>
      <c r="GBL13" s="513"/>
      <c r="GBM13" s="513"/>
      <c r="GBN13" s="513"/>
      <c r="GBO13" s="513"/>
      <c r="GBP13" s="513"/>
      <c r="GBQ13" s="513"/>
      <c r="GBR13" s="513"/>
      <c r="GBS13" s="513"/>
      <c r="GBT13" s="513"/>
      <c r="GBU13" s="513"/>
      <c r="GBV13" s="513"/>
      <c r="GBW13" s="513"/>
      <c r="GBX13" s="513"/>
      <c r="GBY13" s="513"/>
      <c r="GBZ13" s="513"/>
      <c r="GCA13" s="513"/>
      <c r="GCB13" s="513"/>
      <c r="GCC13" s="513"/>
      <c r="GCD13" s="513"/>
      <c r="GCE13" s="513"/>
      <c r="GCF13" s="513"/>
      <c r="GCG13" s="513"/>
      <c r="GCH13" s="513"/>
      <c r="GCI13" s="513"/>
      <c r="GCJ13" s="513"/>
      <c r="GCK13" s="513"/>
      <c r="GCL13" s="513"/>
      <c r="GCM13" s="513"/>
      <c r="GCN13" s="513"/>
      <c r="GCO13" s="513"/>
      <c r="GCP13" s="513"/>
      <c r="GCQ13" s="513"/>
      <c r="GCR13" s="513"/>
      <c r="GCS13" s="513"/>
      <c r="GCT13" s="513"/>
      <c r="GCU13" s="513"/>
      <c r="GCV13" s="513"/>
      <c r="GCW13" s="513"/>
      <c r="GCX13" s="513"/>
      <c r="GCY13" s="513"/>
      <c r="GCZ13" s="513"/>
      <c r="GDA13" s="513"/>
      <c r="GDB13" s="513"/>
      <c r="GDC13" s="513"/>
      <c r="GDD13" s="513"/>
      <c r="GDE13" s="513"/>
      <c r="GDF13" s="513"/>
      <c r="GDG13" s="513"/>
      <c r="GDH13" s="513"/>
      <c r="GDI13" s="513"/>
      <c r="GDJ13" s="513"/>
      <c r="GDK13" s="513"/>
      <c r="GDL13" s="513"/>
      <c r="GDM13" s="513"/>
      <c r="GDN13" s="513"/>
      <c r="GDO13" s="513"/>
      <c r="GDP13" s="513"/>
      <c r="GDQ13" s="513"/>
      <c r="GDR13" s="513"/>
      <c r="GDS13" s="513"/>
      <c r="GDT13" s="513"/>
      <c r="GDU13" s="513"/>
      <c r="GDV13" s="513"/>
      <c r="GDW13" s="513"/>
      <c r="GDX13" s="513"/>
      <c r="GDY13" s="513"/>
      <c r="GDZ13" s="513"/>
      <c r="GEA13" s="513"/>
      <c r="GEB13" s="513"/>
      <c r="GEC13" s="513"/>
      <c r="GED13" s="513"/>
      <c r="GEE13" s="513"/>
      <c r="GEF13" s="513"/>
      <c r="GEG13" s="513"/>
      <c r="GEH13" s="513"/>
      <c r="GEI13" s="513"/>
      <c r="GEJ13" s="513"/>
      <c r="GEK13" s="513"/>
      <c r="GEL13" s="513"/>
      <c r="GEM13" s="513"/>
      <c r="GEN13" s="513"/>
      <c r="GEO13" s="513"/>
      <c r="GEP13" s="513"/>
      <c r="GEQ13" s="513"/>
      <c r="GER13" s="513"/>
      <c r="GES13" s="513"/>
      <c r="GET13" s="513"/>
      <c r="GEU13" s="513"/>
      <c r="GEV13" s="513"/>
      <c r="GEW13" s="513"/>
      <c r="GEX13" s="513"/>
      <c r="GEY13" s="513"/>
      <c r="GEZ13" s="513"/>
      <c r="GFA13" s="513"/>
      <c r="GFB13" s="513"/>
      <c r="GFC13" s="513"/>
      <c r="GFD13" s="513"/>
      <c r="GFE13" s="513"/>
      <c r="GFF13" s="513"/>
      <c r="GFG13" s="513"/>
      <c r="GFH13" s="513"/>
      <c r="GFI13" s="513"/>
      <c r="GFJ13" s="513"/>
      <c r="GFK13" s="513"/>
      <c r="GFL13" s="513"/>
      <c r="GFM13" s="513"/>
      <c r="GFN13" s="513"/>
      <c r="GFO13" s="513"/>
      <c r="GFP13" s="513"/>
      <c r="GFQ13" s="513"/>
      <c r="GFR13" s="513"/>
      <c r="GFS13" s="513"/>
      <c r="GFT13" s="513"/>
      <c r="GFU13" s="513"/>
      <c r="GFV13" s="513"/>
      <c r="GFW13" s="513"/>
      <c r="GFX13" s="513"/>
      <c r="GFY13" s="513"/>
      <c r="GFZ13" s="513"/>
      <c r="GGA13" s="513"/>
      <c r="GGB13" s="513"/>
      <c r="GGC13" s="513"/>
      <c r="GGD13" s="513"/>
      <c r="GGE13" s="513"/>
      <c r="GGF13" s="513"/>
      <c r="GGG13" s="513"/>
      <c r="GGH13" s="513"/>
      <c r="GGI13" s="513"/>
      <c r="GGJ13" s="513"/>
      <c r="GGK13" s="513"/>
      <c r="GGL13" s="513"/>
      <c r="GGM13" s="513"/>
      <c r="GGN13" s="513"/>
      <c r="GGO13" s="513"/>
      <c r="GGP13" s="513"/>
      <c r="GGQ13" s="513"/>
      <c r="GGR13" s="513"/>
      <c r="GGS13" s="513"/>
      <c r="GGT13" s="513"/>
      <c r="GGU13" s="513"/>
      <c r="GGV13" s="513"/>
      <c r="GGW13" s="513"/>
      <c r="GGX13" s="513"/>
      <c r="GGY13" s="513"/>
      <c r="GGZ13" s="513"/>
      <c r="GHA13" s="513"/>
      <c r="GHB13" s="513"/>
      <c r="GHC13" s="513"/>
      <c r="GHD13" s="513"/>
      <c r="GHE13" s="513"/>
      <c r="GHF13" s="513"/>
      <c r="GHG13" s="513"/>
      <c r="GHH13" s="513"/>
      <c r="GHI13" s="513"/>
      <c r="GHJ13" s="513"/>
      <c r="GHK13" s="513"/>
      <c r="GHL13" s="513"/>
      <c r="GHM13" s="513"/>
      <c r="GHN13" s="513"/>
      <c r="GHO13" s="513"/>
      <c r="GHP13" s="513"/>
      <c r="GHQ13" s="513"/>
      <c r="GHR13" s="513"/>
      <c r="GHS13" s="513"/>
      <c r="GHT13" s="513"/>
      <c r="GHU13" s="513"/>
      <c r="GHV13" s="513"/>
      <c r="GHW13" s="513"/>
      <c r="GHX13" s="513"/>
      <c r="GHY13" s="513"/>
      <c r="GHZ13" s="513"/>
      <c r="GIA13" s="513"/>
      <c r="GIB13" s="513"/>
      <c r="GIC13" s="513"/>
      <c r="GID13" s="513"/>
      <c r="GIE13" s="513"/>
      <c r="GIF13" s="513"/>
      <c r="GIG13" s="513"/>
      <c r="GIH13" s="513"/>
      <c r="GII13" s="513"/>
      <c r="GIJ13" s="513"/>
      <c r="GIK13" s="513"/>
      <c r="GIL13" s="513"/>
      <c r="GIM13" s="513"/>
      <c r="GIN13" s="513"/>
      <c r="GIO13" s="513"/>
      <c r="GIP13" s="513"/>
      <c r="GIQ13" s="513"/>
      <c r="GIR13" s="513"/>
      <c r="GIS13" s="513"/>
      <c r="GIT13" s="513"/>
      <c r="GIU13" s="513"/>
      <c r="GIV13" s="513"/>
      <c r="GIW13" s="513"/>
      <c r="GIX13" s="513"/>
      <c r="GIY13" s="513"/>
      <c r="GIZ13" s="513"/>
      <c r="GJA13" s="513"/>
      <c r="GJB13" s="513"/>
      <c r="GJC13" s="513"/>
      <c r="GJD13" s="513"/>
      <c r="GJE13" s="513"/>
      <c r="GJF13" s="513"/>
      <c r="GJG13" s="513"/>
      <c r="GJH13" s="513"/>
      <c r="GJI13" s="513"/>
      <c r="GJJ13" s="513"/>
      <c r="GJK13" s="513"/>
      <c r="GJL13" s="513"/>
      <c r="GJM13" s="513"/>
      <c r="GJN13" s="513"/>
      <c r="GJO13" s="513"/>
      <c r="GJP13" s="513"/>
      <c r="GJQ13" s="513"/>
      <c r="GJR13" s="513"/>
      <c r="GJS13" s="513"/>
      <c r="GJT13" s="513"/>
      <c r="GJU13" s="513"/>
      <c r="GJV13" s="513"/>
      <c r="GJW13" s="513"/>
      <c r="GJX13" s="513"/>
      <c r="GJY13" s="513"/>
      <c r="GJZ13" s="513"/>
      <c r="GKA13" s="513"/>
      <c r="GKB13" s="513"/>
      <c r="GKC13" s="513"/>
      <c r="GKD13" s="513"/>
      <c r="GKE13" s="513"/>
      <c r="GKF13" s="513"/>
      <c r="GKG13" s="513"/>
      <c r="GKH13" s="513"/>
      <c r="GKI13" s="513"/>
      <c r="GKJ13" s="513"/>
      <c r="GKK13" s="513"/>
      <c r="GKL13" s="513"/>
      <c r="GKM13" s="513"/>
      <c r="GKN13" s="513"/>
      <c r="GKO13" s="513"/>
      <c r="GKP13" s="513"/>
      <c r="GKQ13" s="513"/>
      <c r="GKR13" s="513"/>
      <c r="GKS13" s="513"/>
      <c r="GKT13" s="513"/>
      <c r="GKU13" s="513"/>
      <c r="GKV13" s="513"/>
      <c r="GKW13" s="513"/>
      <c r="GKX13" s="513"/>
      <c r="GKY13" s="513"/>
      <c r="GKZ13" s="513"/>
      <c r="GLA13" s="513"/>
      <c r="GLB13" s="513"/>
      <c r="GLC13" s="513"/>
      <c r="GLD13" s="513"/>
      <c r="GLE13" s="513"/>
      <c r="GLF13" s="513"/>
      <c r="GLG13" s="513"/>
      <c r="GLH13" s="513"/>
      <c r="GLI13" s="513"/>
      <c r="GLJ13" s="513"/>
      <c r="GLK13" s="513"/>
      <c r="GLL13" s="513"/>
      <c r="GLM13" s="513"/>
      <c r="GLN13" s="513"/>
      <c r="GLO13" s="513"/>
      <c r="GLP13" s="513"/>
      <c r="GLQ13" s="513"/>
      <c r="GLR13" s="513"/>
      <c r="GLS13" s="513"/>
      <c r="GLT13" s="513"/>
      <c r="GLU13" s="513"/>
      <c r="GLV13" s="513"/>
      <c r="GLW13" s="513"/>
      <c r="GLX13" s="513"/>
      <c r="GLY13" s="513"/>
      <c r="GLZ13" s="513"/>
      <c r="GMA13" s="513"/>
      <c r="GMB13" s="513"/>
      <c r="GMC13" s="513"/>
      <c r="GMD13" s="513"/>
      <c r="GME13" s="513"/>
      <c r="GMF13" s="513"/>
      <c r="GMG13" s="513"/>
      <c r="GMH13" s="513"/>
      <c r="GMI13" s="513"/>
      <c r="GMJ13" s="513"/>
      <c r="GMK13" s="513"/>
      <c r="GML13" s="513"/>
      <c r="GMM13" s="513"/>
      <c r="GMN13" s="513"/>
      <c r="GMO13" s="513"/>
      <c r="GMP13" s="513"/>
      <c r="GMQ13" s="513"/>
      <c r="GMR13" s="513"/>
      <c r="GMS13" s="513"/>
      <c r="GMT13" s="513"/>
      <c r="GMU13" s="513"/>
      <c r="GMV13" s="513"/>
      <c r="GMW13" s="513"/>
      <c r="GMX13" s="513"/>
      <c r="GMY13" s="513"/>
      <c r="GMZ13" s="513"/>
      <c r="GNA13" s="513"/>
      <c r="GNB13" s="513"/>
      <c r="GNC13" s="513"/>
      <c r="GND13" s="513"/>
      <c r="GNE13" s="513"/>
      <c r="GNF13" s="513"/>
      <c r="GNG13" s="513"/>
      <c r="GNH13" s="513"/>
      <c r="GNI13" s="513"/>
      <c r="GNJ13" s="513"/>
      <c r="GNK13" s="513"/>
      <c r="GNL13" s="513"/>
      <c r="GNM13" s="513"/>
      <c r="GNN13" s="513"/>
      <c r="GNO13" s="513"/>
      <c r="GNP13" s="513"/>
      <c r="GNQ13" s="513"/>
      <c r="GNR13" s="513"/>
      <c r="GNS13" s="513"/>
      <c r="GNT13" s="513"/>
      <c r="GNU13" s="513"/>
      <c r="GNV13" s="513"/>
      <c r="GNW13" s="513"/>
      <c r="GNX13" s="513"/>
      <c r="GNY13" s="513"/>
      <c r="GNZ13" s="513"/>
      <c r="GOA13" s="513"/>
      <c r="GOB13" s="513"/>
      <c r="GOC13" s="513"/>
      <c r="GOD13" s="513"/>
      <c r="GOE13" s="513"/>
      <c r="GOF13" s="513"/>
      <c r="GOG13" s="513"/>
      <c r="GOH13" s="513"/>
      <c r="GOI13" s="513"/>
      <c r="GOJ13" s="513"/>
      <c r="GOK13" s="513"/>
      <c r="GOL13" s="513"/>
      <c r="GOM13" s="513"/>
      <c r="GON13" s="513"/>
      <c r="GOO13" s="513"/>
      <c r="GOP13" s="513"/>
      <c r="GOQ13" s="513"/>
      <c r="GOR13" s="513"/>
      <c r="GOS13" s="513"/>
      <c r="GOT13" s="513"/>
      <c r="GOU13" s="513"/>
      <c r="GOV13" s="513"/>
      <c r="GOW13" s="513"/>
      <c r="GOX13" s="513"/>
      <c r="GOY13" s="513"/>
      <c r="GOZ13" s="513"/>
      <c r="GPA13" s="513"/>
      <c r="GPB13" s="513"/>
      <c r="GPC13" s="513"/>
      <c r="GPD13" s="513"/>
      <c r="GPE13" s="513"/>
      <c r="GPF13" s="513"/>
      <c r="GPG13" s="513"/>
      <c r="GPH13" s="513"/>
      <c r="GPI13" s="513"/>
      <c r="GPJ13" s="513"/>
      <c r="GPK13" s="513"/>
      <c r="GPL13" s="513"/>
      <c r="GPM13" s="513"/>
      <c r="GPN13" s="513"/>
      <c r="GPO13" s="513"/>
      <c r="GPP13" s="513"/>
      <c r="GPQ13" s="513"/>
      <c r="GPR13" s="513"/>
      <c r="GPS13" s="513"/>
      <c r="GPT13" s="513"/>
      <c r="GPU13" s="513"/>
      <c r="GPV13" s="513"/>
      <c r="GPW13" s="513"/>
      <c r="GPX13" s="513"/>
      <c r="GPY13" s="513"/>
      <c r="GPZ13" s="513"/>
      <c r="GQA13" s="513"/>
      <c r="GQB13" s="513"/>
      <c r="GQC13" s="513"/>
      <c r="GQD13" s="513"/>
      <c r="GQE13" s="513"/>
      <c r="GQF13" s="513"/>
      <c r="GQG13" s="513"/>
      <c r="GQH13" s="513"/>
      <c r="GQI13" s="513"/>
      <c r="GQJ13" s="513"/>
      <c r="GQK13" s="513"/>
      <c r="GQL13" s="513"/>
      <c r="GQM13" s="513"/>
      <c r="GQN13" s="513"/>
      <c r="GQO13" s="513"/>
      <c r="GQP13" s="513"/>
      <c r="GQQ13" s="513"/>
      <c r="GQR13" s="513"/>
      <c r="GQS13" s="513"/>
      <c r="GQT13" s="513"/>
      <c r="GQU13" s="513"/>
      <c r="GQV13" s="513"/>
      <c r="GQW13" s="513"/>
      <c r="GQX13" s="513"/>
      <c r="GQY13" s="513"/>
      <c r="GQZ13" s="513"/>
      <c r="GRA13" s="513"/>
      <c r="GRB13" s="513"/>
      <c r="GRC13" s="513"/>
      <c r="GRD13" s="513"/>
      <c r="GRE13" s="513"/>
      <c r="GRF13" s="513"/>
      <c r="GRG13" s="513"/>
      <c r="GRH13" s="513"/>
      <c r="GRI13" s="513"/>
      <c r="GRJ13" s="513"/>
      <c r="GRK13" s="513"/>
      <c r="GRL13" s="513"/>
      <c r="GRM13" s="513"/>
      <c r="GRN13" s="513"/>
      <c r="GRO13" s="513"/>
      <c r="GRP13" s="513"/>
      <c r="GRQ13" s="513"/>
      <c r="GRR13" s="513"/>
      <c r="GRS13" s="513"/>
      <c r="GRT13" s="513"/>
      <c r="GRU13" s="513"/>
      <c r="GRV13" s="513"/>
      <c r="GRW13" s="513"/>
      <c r="GRX13" s="513"/>
      <c r="GRY13" s="513"/>
      <c r="GRZ13" s="513"/>
      <c r="GSA13" s="513"/>
      <c r="GSB13" s="513"/>
      <c r="GSC13" s="513"/>
      <c r="GSD13" s="513"/>
      <c r="GSE13" s="513"/>
      <c r="GSF13" s="513"/>
      <c r="GSG13" s="513"/>
      <c r="GSH13" s="513"/>
      <c r="GSI13" s="513"/>
      <c r="GSJ13" s="513"/>
      <c r="GSK13" s="513"/>
      <c r="GSL13" s="513"/>
      <c r="GSM13" s="513"/>
      <c r="GSN13" s="513"/>
      <c r="GSO13" s="513"/>
      <c r="GSP13" s="513"/>
      <c r="GSQ13" s="513"/>
      <c r="GSR13" s="513"/>
      <c r="GSS13" s="513"/>
      <c r="GST13" s="513"/>
      <c r="GSU13" s="513"/>
      <c r="GSV13" s="513"/>
      <c r="GSW13" s="513"/>
      <c r="GSX13" s="513"/>
      <c r="GSY13" s="513"/>
      <c r="GSZ13" s="513"/>
      <c r="GTA13" s="513"/>
      <c r="GTB13" s="513"/>
      <c r="GTC13" s="513"/>
      <c r="GTD13" s="513"/>
      <c r="GTE13" s="513"/>
      <c r="GTF13" s="513"/>
      <c r="GTG13" s="513"/>
      <c r="GTH13" s="513"/>
      <c r="GTI13" s="513"/>
      <c r="GTJ13" s="513"/>
      <c r="GTK13" s="513"/>
      <c r="GTL13" s="513"/>
      <c r="GTM13" s="513"/>
      <c r="GTN13" s="513"/>
      <c r="GTO13" s="513"/>
      <c r="GTP13" s="513"/>
      <c r="GTQ13" s="513"/>
      <c r="GTR13" s="513"/>
      <c r="GTS13" s="513"/>
      <c r="GTT13" s="513"/>
      <c r="GTU13" s="513"/>
      <c r="GTV13" s="513"/>
      <c r="GTW13" s="513"/>
      <c r="GTX13" s="513"/>
      <c r="GTY13" s="513"/>
      <c r="GTZ13" s="513"/>
      <c r="GUA13" s="513"/>
      <c r="GUB13" s="513"/>
      <c r="GUC13" s="513"/>
      <c r="GUD13" s="513"/>
      <c r="GUE13" s="513"/>
      <c r="GUF13" s="513"/>
      <c r="GUG13" s="513"/>
      <c r="GUH13" s="513"/>
      <c r="GUI13" s="513"/>
      <c r="GUJ13" s="513"/>
      <c r="GUK13" s="513"/>
      <c r="GUL13" s="513"/>
      <c r="GUM13" s="513"/>
      <c r="GUN13" s="513"/>
      <c r="GUO13" s="513"/>
      <c r="GUP13" s="513"/>
      <c r="GUQ13" s="513"/>
      <c r="GUR13" s="513"/>
      <c r="GUS13" s="513"/>
      <c r="GUT13" s="513"/>
      <c r="GUU13" s="513"/>
      <c r="GUV13" s="513"/>
      <c r="GUW13" s="513"/>
      <c r="GUX13" s="513"/>
      <c r="GUY13" s="513"/>
      <c r="GUZ13" s="513"/>
      <c r="GVA13" s="513"/>
      <c r="GVB13" s="513"/>
      <c r="GVC13" s="513"/>
      <c r="GVD13" s="513"/>
      <c r="GVE13" s="513"/>
      <c r="GVF13" s="513"/>
      <c r="GVG13" s="513"/>
      <c r="GVH13" s="513"/>
      <c r="GVI13" s="513"/>
      <c r="GVJ13" s="513"/>
      <c r="GVK13" s="513"/>
      <c r="GVL13" s="513"/>
      <c r="GVM13" s="513"/>
      <c r="GVN13" s="513"/>
      <c r="GVO13" s="513"/>
      <c r="GVP13" s="513"/>
      <c r="GVQ13" s="513"/>
      <c r="GVR13" s="513"/>
      <c r="GVS13" s="513"/>
      <c r="GVT13" s="513"/>
      <c r="GVU13" s="513"/>
      <c r="GVV13" s="513"/>
      <c r="GVW13" s="513"/>
      <c r="GVX13" s="513"/>
      <c r="GVY13" s="513"/>
      <c r="GVZ13" s="513"/>
      <c r="GWA13" s="513"/>
      <c r="GWB13" s="513"/>
      <c r="GWC13" s="513"/>
      <c r="GWD13" s="513"/>
      <c r="GWE13" s="513"/>
      <c r="GWF13" s="513"/>
      <c r="GWG13" s="513"/>
      <c r="GWH13" s="513"/>
      <c r="GWI13" s="513"/>
      <c r="GWJ13" s="513"/>
      <c r="GWK13" s="513"/>
      <c r="GWL13" s="513"/>
      <c r="GWM13" s="513"/>
      <c r="GWN13" s="513"/>
      <c r="GWO13" s="513"/>
      <c r="GWP13" s="513"/>
      <c r="GWQ13" s="513"/>
      <c r="GWR13" s="513"/>
      <c r="GWS13" s="513"/>
      <c r="GWT13" s="513"/>
      <c r="GWU13" s="513"/>
      <c r="GWV13" s="513"/>
      <c r="GWW13" s="513"/>
      <c r="GWX13" s="513"/>
      <c r="GWY13" s="513"/>
      <c r="GWZ13" s="513"/>
      <c r="GXA13" s="513"/>
      <c r="GXB13" s="513"/>
      <c r="GXC13" s="513"/>
      <c r="GXD13" s="513"/>
      <c r="GXE13" s="513"/>
      <c r="GXF13" s="513"/>
      <c r="GXG13" s="513"/>
      <c r="GXH13" s="513"/>
      <c r="GXI13" s="513"/>
      <c r="GXJ13" s="513"/>
      <c r="GXK13" s="513"/>
      <c r="GXL13" s="513"/>
      <c r="GXM13" s="513"/>
      <c r="GXN13" s="513"/>
      <c r="GXO13" s="513"/>
      <c r="GXP13" s="513"/>
      <c r="GXQ13" s="513"/>
      <c r="GXR13" s="513"/>
      <c r="GXS13" s="513"/>
      <c r="GXT13" s="513"/>
      <c r="GXU13" s="513"/>
      <c r="GXV13" s="513"/>
      <c r="GXW13" s="513"/>
      <c r="GXX13" s="513"/>
      <c r="GXY13" s="513"/>
      <c r="GXZ13" s="513"/>
      <c r="GYA13" s="513"/>
      <c r="GYB13" s="513"/>
      <c r="GYC13" s="513"/>
      <c r="GYD13" s="513"/>
      <c r="GYE13" s="513"/>
      <c r="GYF13" s="513"/>
      <c r="GYG13" s="513"/>
      <c r="GYH13" s="513"/>
      <c r="GYI13" s="513"/>
      <c r="GYJ13" s="513"/>
      <c r="GYK13" s="513"/>
      <c r="GYL13" s="513"/>
      <c r="GYM13" s="513"/>
      <c r="GYN13" s="513"/>
      <c r="GYO13" s="513"/>
      <c r="GYP13" s="513"/>
      <c r="GYQ13" s="513"/>
      <c r="GYR13" s="513"/>
      <c r="GYS13" s="513"/>
      <c r="GYT13" s="513"/>
      <c r="GYU13" s="513"/>
      <c r="GYV13" s="513"/>
      <c r="GYW13" s="513"/>
      <c r="GYX13" s="513"/>
      <c r="GYY13" s="513"/>
      <c r="GYZ13" s="513"/>
      <c r="GZA13" s="513"/>
      <c r="GZB13" s="513"/>
      <c r="GZC13" s="513"/>
      <c r="GZD13" s="513"/>
      <c r="GZE13" s="513"/>
      <c r="GZF13" s="513"/>
      <c r="GZG13" s="513"/>
      <c r="GZH13" s="513"/>
      <c r="GZI13" s="513"/>
      <c r="GZJ13" s="513"/>
      <c r="GZK13" s="513"/>
      <c r="GZL13" s="513"/>
      <c r="GZM13" s="513"/>
      <c r="GZN13" s="513"/>
      <c r="GZO13" s="513"/>
      <c r="GZP13" s="513"/>
      <c r="GZQ13" s="513"/>
      <c r="GZR13" s="513"/>
      <c r="GZS13" s="513"/>
      <c r="GZT13" s="513"/>
      <c r="GZU13" s="513"/>
      <c r="GZV13" s="513"/>
      <c r="GZW13" s="513"/>
      <c r="GZX13" s="513"/>
      <c r="GZY13" s="513"/>
      <c r="GZZ13" s="513"/>
      <c r="HAA13" s="513"/>
      <c r="HAB13" s="513"/>
      <c r="HAC13" s="513"/>
      <c r="HAD13" s="513"/>
      <c r="HAE13" s="513"/>
      <c r="HAF13" s="513"/>
      <c r="HAG13" s="513"/>
      <c r="HAH13" s="513"/>
      <c r="HAI13" s="513"/>
      <c r="HAJ13" s="513"/>
      <c r="HAK13" s="513"/>
      <c r="HAL13" s="513"/>
      <c r="HAM13" s="513"/>
      <c r="HAN13" s="513"/>
      <c r="HAO13" s="513"/>
      <c r="HAP13" s="513"/>
      <c r="HAQ13" s="513"/>
      <c r="HAR13" s="513"/>
      <c r="HAS13" s="513"/>
      <c r="HAT13" s="513"/>
      <c r="HAU13" s="513"/>
      <c r="HAV13" s="513"/>
      <c r="HAW13" s="513"/>
      <c r="HAX13" s="513"/>
      <c r="HAY13" s="513"/>
      <c r="HAZ13" s="513"/>
      <c r="HBA13" s="513"/>
      <c r="HBB13" s="513"/>
      <c r="HBC13" s="513"/>
      <c r="HBD13" s="513"/>
      <c r="HBE13" s="513"/>
      <c r="HBF13" s="513"/>
      <c r="HBG13" s="513"/>
      <c r="HBH13" s="513"/>
      <c r="HBI13" s="513"/>
      <c r="HBJ13" s="513"/>
      <c r="HBK13" s="513"/>
      <c r="HBL13" s="513"/>
      <c r="HBM13" s="513"/>
      <c r="HBN13" s="513"/>
      <c r="HBO13" s="513"/>
      <c r="HBP13" s="513"/>
      <c r="HBQ13" s="513"/>
      <c r="HBR13" s="513"/>
      <c r="HBS13" s="513"/>
      <c r="HBT13" s="513"/>
      <c r="HBU13" s="513"/>
      <c r="HBV13" s="513"/>
      <c r="HBW13" s="513"/>
      <c r="HBX13" s="513"/>
      <c r="HBY13" s="513"/>
      <c r="HBZ13" s="513"/>
      <c r="HCA13" s="513"/>
      <c r="HCB13" s="513"/>
      <c r="HCC13" s="513"/>
      <c r="HCD13" s="513"/>
      <c r="HCE13" s="513"/>
      <c r="HCF13" s="513"/>
      <c r="HCG13" s="513"/>
      <c r="HCH13" s="513"/>
      <c r="HCI13" s="513"/>
      <c r="HCJ13" s="513"/>
      <c r="HCK13" s="513"/>
      <c r="HCL13" s="513"/>
      <c r="HCM13" s="513"/>
      <c r="HCN13" s="513"/>
      <c r="HCO13" s="513"/>
      <c r="HCP13" s="513"/>
      <c r="HCQ13" s="513"/>
      <c r="HCR13" s="513"/>
      <c r="HCS13" s="513"/>
      <c r="HCT13" s="513"/>
      <c r="HCU13" s="513"/>
      <c r="HCV13" s="513"/>
      <c r="HCW13" s="513"/>
      <c r="HCX13" s="513"/>
      <c r="HCY13" s="513"/>
      <c r="HCZ13" s="513"/>
      <c r="HDA13" s="513"/>
      <c r="HDB13" s="513"/>
      <c r="HDC13" s="513"/>
      <c r="HDD13" s="513"/>
      <c r="HDE13" s="513"/>
      <c r="HDF13" s="513"/>
      <c r="HDG13" s="513"/>
      <c r="HDH13" s="513"/>
      <c r="HDI13" s="513"/>
      <c r="HDJ13" s="513"/>
      <c r="HDK13" s="513"/>
      <c r="HDL13" s="513"/>
      <c r="HDM13" s="513"/>
      <c r="HDN13" s="513"/>
      <c r="HDO13" s="513"/>
      <c r="HDP13" s="513"/>
      <c r="HDQ13" s="513"/>
      <c r="HDR13" s="513"/>
      <c r="HDS13" s="513"/>
      <c r="HDT13" s="513"/>
      <c r="HDU13" s="513"/>
      <c r="HDV13" s="513"/>
      <c r="HDW13" s="513"/>
      <c r="HDX13" s="513"/>
      <c r="HDY13" s="513"/>
      <c r="HDZ13" s="513"/>
      <c r="HEA13" s="513"/>
      <c r="HEB13" s="513"/>
      <c r="HEC13" s="513"/>
      <c r="HED13" s="513"/>
      <c r="HEE13" s="513"/>
      <c r="HEF13" s="513"/>
      <c r="HEG13" s="513"/>
      <c r="HEH13" s="513"/>
      <c r="HEI13" s="513"/>
      <c r="HEJ13" s="513"/>
      <c r="HEK13" s="513"/>
      <c r="HEL13" s="513"/>
      <c r="HEM13" s="513"/>
      <c r="HEN13" s="513"/>
      <c r="HEO13" s="513"/>
      <c r="HEP13" s="513"/>
      <c r="HEQ13" s="513"/>
      <c r="HER13" s="513"/>
      <c r="HES13" s="513"/>
      <c r="HET13" s="513"/>
      <c r="HEU13" s="513"/>
      <c r="HEV13" s="513"/>
      <c r="HEW13" s="513"/>
      <c r="HEX13" s="513"/>
      <c r="HEY13" s="513"/>
      <c r="HEZ13" s="513"/>
      <c r="HFA13" s="513"/>
      <c r="HFB13" s="513"/>
      <c r="HFC13" s="513"/>
      <c r="HFD13" s="513"/>
      <c r="HFE13" s="513"/>
      <c r="HFF13" s="513"/>
      <c r="HFG13" s="513"/>
      <c r="HFH13" s="513"/>
      <c r="HFI13" s="513"/>
      <c r="HFJ13" s="513"/>
      <c r="HFK13" s="513"/>
      <c r="HFL13" s="513"/>
      <c r="HFM13" s="513"/>
      <c r="HFN13" s="513"/>
      <c r="HFO13" s="513"/>
      <c r="HFP13" s="513"/>
      <c r="HFQ13" s="513"/>
      <c r="HFR13" s="513"/>
      <c r="HFS13" s="513"/>
      <c r="HFT13" s="513"/>
      <c r="HFU13" s="513"/>
      <c r="HFV13" s="513"/>
      <c r="HFW13" s="513"/>
      <c r="HFX13" s="513"/>
      <c r="HFY13" s="513"/>
      <c r="HFZ13" s="513"/>
      <c r="HGA13" s="513"/>
      <c r="HGB13" s="513"/>
      <c r="HGC13" s="513"/>
      <c r="HGD13" s="513"/>
      <c r="HGE13" s="513"/>
      <c r="HGF13" s="513"/>
      <c r="HGG13" s="513"/>
      <c r="HGH13" s="513"/>
      <c r="HGI13" s="513"/>
      <c r="HGJ13" s="513"/>
      <c r="HGK13" s="513"/>
      <c r="HGL13" s="513"/>
      <c r="HGM13" s="513"/>
      <c r="HGN13" s="513"/>
      <c r="HGO13" s="513"/>
      <c r="HGP13" s="513"/>
      <c r="HGQ13" s="513"/>
      <c r="HGR13" s="513"/>
      <c r="HGS13" s="513"/>
      <c r="HGT13" s="513"/>
      <c r="HGU13" s="513"/>
      <c r="HGV13" s="513"/>
      <c r="HGW13" s="513"/>
      <c r="HGX13" s="513"/>
      <c r="HGY13" s="513"/>
      <c r="HGZ13" s="513"/>
      <c r="HHA13" s="513"/>
      <c r="HHB13" s="513"/>
      <c r="HHC13" s="513"/>
      <c r="HHD13" s="513"/>
      <c r="HHE13" s="513"/>
      <c r="HHF13" s="513"/>
      <c r="HHG13" s="513"/>
      <c r="HHH13" s="513"/>
      <c r="HHI13" s="513"/>
      <c r="HHJ13" s="513"/>
      <c r="HHK13" s="513"/>
      <c r="HHL13" s="513"/>
      <c r="HHM13" s="513"/>
      <c r="HHN13" s="513"/>
      <c r="HHO13" s="513"/>
      <c r="HHP13" s="513"/>
      <c r="HHQ13" s="513"/>
      <c r="HHR13" s="513"/>
      <c r="HHS13" s="513"/>
      <c r="HHT13" s="513"/>
      <c r="HHU13" s="513"/>
      <c r="HHV13" s="513"/>
      <c r="HHW13" s="513"/>
      <c r="HHX13" s="513"/>
      <c r="HHY13" s="513"/>
      <c r="HHZ13" s="513"/>
      <c r="HIA13" s="513"/>
      <c r="HIB13" s="513"/>
      <c r="HIC13" s="513"/>
      <c r="HID13" s="513"/>
      <c r="HIE13" s="513"/>
      <c r="HIF13" s="513"/>
      <c r="HIG13" s="513"/>
      <c r="HIH13" s="513"/>
      <c r="HII13" s="513"/>
      <c r="HIJ13" s="513"/>
      <c r="HIK13" s="513"/>
      <c r="HIL13" s="513"/>
      <c r="HIM13" s="513"/>
      <c r="HIN13" s="513"/>
      <c r="HIO13" s="513"/>
      <c r="HIP13" s="513"/>
      <c r="HIQ13" s="513"/>
      <c r="HIR13" s="513"/>
      <c r="HIS13" s="513"/>
      <c r="HIT13" s="513"/>
      <c r="HIU13" s="513"/>
      <c r="HIV13" s="513"/>
      <c r="HIW13" s="513"/>
      <c r="HIX13" s="513"/>
      <c r="HIY13" s="513"/>
      <c r="HIZ13" s="513"/>
      <c r="HJA13" s="513"/>
      <c r="HJB13" s="513"/>
      <c r="HJC13" s="513"/>
      <c r="HJD13" s="513"/>
      <c r="HJE13" s="513"/>
      <c r="HJF13" s="513"/>
      <c r="HJG13" s="513"/>
      <c r="HJH13" s="513"/>
      <c r="HJI13" s="513"/>
      <c r="HJJ13" s="513"/>
      <c r="HJK13" s="513"/>
      <c r="HJL13" s="513"/>
      <c r="HJM13" s="513"/>
      <c r="HJN13" s="513"/>
      <c r="HJO13" s="513"/>
      <c r="HJP13" s="513"/>
      <c r="HJQ13" s="513"/>
      <c r="HJR13" s="513"/>
      <c r="HJS13" s="513"/>
      <c r="HJT13" s="513"/>
      <c r="HJU13" s="513"/>
      <c r="HJV13" s="513"/>
      <c r="HJW13" s="513"/>
      <c r="HJX13" s="513"/>
      <c r="HJY13" s="513"/>
      <c r="HJZ13" s="513"/>
      <c r="HKA13" s="513"/>
      <c r="HKB13" s="513"/>
      <c r="HKC13" s="513"/>
      <c r="HKD13" s="513"/>
      <c r="HKE13" s="513"/>
      <c r="HKF13" s="513"/>
      <c r="HKG13" s="513"/>
      <c r="HKH13" s="513"/>
      <c r="HKI13" s="513"/>
      <c r="HKJ13" s="513"/>
      <c r="HKK13" s="513"/>
      <c r="HKL13" s="513"/>
      <c r="HKM13" s="513"/>
      <c r="HKN13" s="513"/>
      <c r="HKO13" s="513"/>
      <c r="HKP13" s="513"/>
      <c r="HKQ13" s="513"/>
      <c r="HKR13" s="513"/>
      <c r="HKS13" s="513"/>
      <c r="HKT13" s="513"/>
      <c r="HKU13" s="513"/>
      <c r="HKV13" s="513"/>
      <c r="HKW13" s="513"/>
      <c r="HKX13" s="513"/>
      <c r="HKY13" s="513"/>
      <c r="HKZ13" s="513"/>
      <c r="HLA13" s="513"/>
      <c r="HLB13" s="513"/>
      <c r="HLC13" s="513"/>
      <c r="HLD13" s="513"/>
      <c r="HLE13" s="513"/>
      <c r="HLF13" s="513"/>
      <c r="HLG13" s="513"/>
      <c r="HLH13" s="513"/>
      <c r="HLI13" s="513"/>
      <c r="HLJ13" s="513"/>
      <c r="HLK13" s="513"/>
      <c r="HLL13" s="513"/>
      <c r="HLM13" s="513"/>
      <c r="HLN13" s="513"/>
      <c r="HLO13" s="513"/>
      <c r="HLP13" s="513"/>
      <c r="HLQ13" s="513"/>
      <c r="HLR13" s="513"/>
      <c r="HLS13" s="513"/>
      <c r="HLT13" s="513"/>
      <c r="HLU13" s="513"/>
      <c r="HLV13" s="513"/>
      <c r="HLW13" s="513"/>
      <c r="HLX13" s="513"/>
      <c r="HLY13" s="513"/>
      <c r="HLZ13" s="513"/>
      <c r="HMA13" s="513"/>
      <c r="HMB13" s="513"/>
      <c r="HMC13" s="513"/>
      <c r="HMD13" s="513"/>
      <c r="HME13" s="513"/>
      <c r="HMF13" s="513"/>
      <c r="HMG13" s="513"/>
      <c r="HMH13" s="513"/>
      <c r="HMI13" s="513"/>
      <c r="HMJ13" s="513"/>
      <c r="HMK13" s="513"/>
      <c r="HML13" s="513"/>
      <c r="HMM13" s="513"/>
      <c r="HMN13" s="513"/>
      <c r="HMO13" s="513"/>
      <c r="HMP13" s="513"/>
      <c r="HMQ13" s="513"/>
      <c r="HMR13" s="513"/>
      <c r="HMS13" s="513"/>
      <c r="HMT13" s="513"/>
      <c r="HMU13" s="513"/>
      <c r="HMV13" s="513"/>
      <c r="HMW13" s="513"/>
      <c r="HMX13" s="513"/>
      <c r="HMY13" s="513"/>
      <c r="HMZ13" s="513"/>
      <c r="HNA13" s="513"/>
      <c r="HNB13" s="513"/>
      <c r="HNC13" s="513"/>
      <c r="HND13" s="513"/>
      <c r="HNE13" s="513"/>
      <c r="HNF13" s="513"/>
      <c r="HNG13" s="513"/>
      <c r="HNH13" s="513"/>
      <c r="HNI13" s="513"/>
      <c r="HNJ13" s="513"/>
      <c r="HNK13" s="513"/>
      <c r="HNL13" s="513"/>
      <c r="HNM13" s="513"/>
      <c r="HNN13" s="513"/>
      <c r="HNO13" s="513"/>
      <c r="HNP13" s="513"/>
      <c r="HNQ13" s="513"/>
      <c r="HNR13" s="513"/>
      <c r="HNS13" s="513"/>
      <c r="HNT13" s="513"/>
      <c r="HNU13" s="513"/>
      <c r="HNV13" s="513"/>
      <c r="HNW13" s="513"/>
      <c r="HNX13" s="513"/>
      <c r="HNY13" s="513"/>
      <c r="HNZ13" s="513"/>
      <c r="HOA13" s="513"/>
      <c r="HOB13" s="513"/>
      <c r="HOC13" s="513"/>
      <c r="HOD13" s="513"/>
      <c r="HOE13" s="513"/>
      <c r="HOF13" s="513"/>
      <c r="HOG13" s="513"/>
      <c r="HOH13" s="513"/>
      <c r="HOI13" s="513"/>
      <c r="HOJ13" s="513"/>
      <c r="HOK13" s="513"/>
      <c r="HOL13" s="513"/>
      <c r="HOM13" s="513"/>
      <c r="HON13" s="513"/>
      <c r="HOO13" s="513"/>
      <c r="HOP13" s="513"/>
      <c r="HOQ13" s="513"/>
      <c r="HOR13" s="513"/>
      <c r="HOS13" s="513"/>
      <c r="HOT13" s="513"/>
      <c r="HOU13" s="513"/>
      <c r="HOV13" s="513"/>
      <c r="HOW13" s="513"/>
      <c r="HOX13" s="513"/>
      <c r="HOY13" s="513"/>
      <c r="HOZ13" s="513"/>
      <c r="HPA13" s="513"/>
      <c r="HPB13" s="513"/>
      <c r="HPC13" s="513"/>
      <c r="HPD13" s="513"/>
      <c r="HPE13" s="513"/>
      <c r="HPF13" s="513"/>
      <c r="HPG13" s="513"/>
      <c r="HPH13" s="513"/>
      <c r="HPI13" s="513"/>
      <c r="HPJ13" s="513"/>
      <c r="HPK13" s="513"/>
      <c r="HPL13" s="513"/>
      <c r="HPM13" s="513"/>
      <c r="HPN13" s="513"/>
      <c r="HPO13" s="513"/>
      <c r="HPP13" s="513"/>
      <c r="HPQ13" s="513"/>
      <c r="HPR13" s="513"/>
      <c r="HPS13" s="513"/>
      <c r="HPT13" s="513"/>
      <c r="HPU13" s="513"/>
      <c r="HPV13" s="513"/>
      <c r="HPW13" s="513"/>
      <c r="HPX13" s="513"/>
      <c r="HPY13" s="513"/>
      <c r="HPZ13" s="513"/>
      <c r="HQA13" s="513"/>
      <c r="HQB13" s="513"/>
      <c r="HQC13" s="513"/>
      <c r="HQD13" s="513"/>
      <c r="HQE13" s="513"/>
      <c r="HQF13" s="513"/>
      <c r="HQG13" s="513"/>
      <c r="HQH13" s="513"/>
      <c r="HQI13" s="513"/>
      <c r="HQJ13" s="513"/>
      <c r="HQK13" s="513"/>
      <c r="HQL13" s="513"/>
      <c r="HQM13" s="513"/>
      <c r="HQN13" s="513"/>
      <c r="HQO13" s="513"/>
      <c r="HQP13" s="513"/>
      <c r="HQQ13" s="513"/>
      <c r="HQR13" s="513"/>
      <c r="HQS13" s="513"/>
      <c r="HQT13" s="513"/>
      <c r="HQU13" s="513"/>
      <c r="HQV13" s="513"/>
      <c r="HQW13" s="513"/>
      <c r="HQX13" s="513"/>
      <c r="HQY13" s="513"/>
      <c r="HQZ13" s="513"/>
      <c r="HRA13" s="513"/>
      <c r="HRB13" s="513"/>
      <c r="HRC13" s="513"/>
      <c r="HRD13" s="513"/>
      <c r="HRE13" s="513"/>
      <c r="HRF13" s="513"/>
      <c r="HRG13" s="513"/>
      <c r="HRH13" s="513"/>
      <c r="HRI13" s="513"/>
      <c r="HRJ13" s="513"/>
      <c r="HRK13" s="513"/>
      <c r="HRL13" s="513"/>
      <c r="HRM13" s="513"/>
      <c r="HRN13" s="513"/>
      <c r="HRO13" s="513"/>
      <c r="HRP13" s="513"/>
      <c r="HRQ13" s="513"/>
      <c r="HRR13" s="513"/>
      <c r="HRS13" s="513"/>
      <c r="HRT13" s="513"/>
      <c r="HRU13" s="513"/>
      <c r="HRV13" s="513"/>
      <c r="HRW13" s="513"/>
      <c r="HRX13" s="513"/>
      <c r="HRY13" s="513"/>
      <c r="HRZ13" s="513"/>
      <c r="HSA13" s="513"/>
      <c r="HSB13" s="513"/>
      <c r="HSC13" s="513"/>
      <c r="HSD13" s="513"/>
      <c r="HSE13" s="513"/>
      <c r="HSF13" s="513"/>
      <c r="HSG13" s="513"/>
      <c r="HSH13" s="513"/>
      <c r="HSI13" s="513"/>
      <c r="HSJ13" s="513"/>
      <c r="HSK13" s="513"/>
      <c r="HSL13" s="513"/>
      <c r="HSM13" s="513"/>
      <c r="HSN13" s="513"/>
      <c r="HSO13" s="513"/>
      <c r="HSP13" s="513"/>
      <c r="HSQ13" s="513"/>
      <c r="HSR13" s="513"/>
      <c r="HSS13" s="513"/>
      <c r="HST13" s="513"/>
      <c r="HSU13" s="513"/>
      <c r="HSV13" s="513"/>
      <c r="HSW13" s="513"/>
      <c r="HSX13" s="513"/>
      <c r="HSY13" s="513"/>
      <c r="HSZ13" s="513"/>
      <c r="HTA13" s="513"/>
      <c r="HTB13" s="513"/>
      <c r="HTC13" s="513"/>
      <c r="HTD13" s="513"/>
      <c r="HTE13" s="513"/>
      <c r="HTF13" s="513"/>
      <c r="HTG13" s="513"/>
      <c r="HTH13" s="513"/>
      <c r="HTI13" s="513"/>
      <c r="HTJ13" s="513"/>
      <c r="HTK13" s="513"/>
      <c r="HTL13" s="513"/>
      <c r="HTM13" s="513"/>
      <c r="HTN13" s="513"/>
      <c r="HTO13" s="513"/>
      <c r="HTP13" s="513"/>
      <c r="HTQ13" s="513"/>
      <c r="HTR13" s="513"/>
      <c r="HTS13" s="513"/>
      <c r="HTT13" s="513"/>
      <c r="HTU13" s="513"/>
      <c r="HTV13" s="513"/>
      <c r="HTW13" s="513"/>
      <c r="HTX13" s="513"/>
      <c r="HTY13" s="513"/>
      <c r="HTZ13" s="513"/>
      <c r="HUA13" s="513"/>
      <c r="HUB13" s="513"/>
      <c r="HUC13" s="513"/>
      <c r="HUD13" s="513"/>
      <c r="HUE13" s="513"/>
      <c r="HUF13" s="513"/>
      <c r="HUG13" s="513"/>
      <c r="HUH13" s="513"/>
      <c r="HUI13" s="513"/>
      <c r="HUJ13" s="513"/>
      <c r="HUK13" s="513"/>
      <c r="HUL13" s="513"/>
      <c r="HUM13" s="513"/>
      <c r="HUN13" s="513"/>
      <c r="HUO13" s="513"/>
      <c r="HUP13" s="513"/>
      <c r="HUQ13" s="513"/>
      <c r="HUR13" s="513"/>
      <c r="HUS13" s="513"/>
      <c r="HUT13" s="513"/>
      <c r="HUU13" s="513"/>
      <c r="HUV13" s="513"/>
      <c r="HUW13" s="513"/>
      <c r="HUX13" s="513"/>
      <c r="HUY13" s="513"/>
      <c r="HUZ13" s="513"/>
      <c r="HVA13" s="513"/>
      <c r="HVB13" s="513"/>
      <c r="HVC13" s="513"/>
      <c r="HVD13" s="513"/>
      <c r="HVE13" s="513"/>
      <c r="HVF13" s="513"/>
      <c r="HVG13" s="513"/>
      <c r="HVH13" s="513"/>
      <c r="HVI13" s="513"/>
      <c r="HVJ13" s="513"/>
      <c r="HVK13" s="513"/>
      <c r="HVL13" s="513"/>
      <c r="HVM13" s="513"/>
      <c r="HVN13" s="513"/>
      <c r="HVO13" s="513"/>
      <c r="HVP13" s="513"/>
      <c r="HVQ13" s="513"/>
      <c r="HVR13" s="513"/>
      <c r="HVS13" s="513"/>
      <c r="HVT13" s="513"/>
      <c r="HVU13" s="513"/>
      <c r="HVV13" s="513"/>
      <c r="HVW13" s="513"/>
      <c r="HVX13" s="513"/>
      <c r="HVY13" s="513"/>
      <c r="HVZ13" s="513"/>
      <c r="HWA13" s="513"/>
      <c r="HWB13" s="513"/>
      <c r="HWC13" s="513"/>
      <c r="HWD13" s="513"/>
      <c r="HWE13" s="513"/>
      <c r="HWF13" s="513"/>
      <c r="HWG13" s="513"/>
      <c r="HWH13" s="513"/>
      <c r="HWI13" s="513"/>
      <c r="HWJ13" s="513"/>
      <c r="HWK13" s="513"/>
      <c r="HWL13" s="513"/>
      <c r="HWM13" s="513"/>
      <c r="HWN13" s="513"/>
      <c r="HWO13" s="513"/>
      <c r="HWP13" s="513"/>
      <c r="HWQ13" s="513"/>
      <c r="HWR13" s="513"/>
      <c r="HWS13" s="513"/>
      <c r="HWT13" s="513"/>
      <c r="HWU13" s="513"/>
      <c r="HWV13" s="513"/>
      <c r="HWW13" s="513"/>
      <c r="HWX13" s="513"/>
      <c r="HWY13" s="513"/>
      <c r="HWZ13" s="513"/>
      <c r="HXA13" s="513"/>
      <c r="HXB13" s="513"/>
      <c r="HXC13" s="513"/>
      <c r="HXD13" s="513"/>
      <c r="HXE13" s="513"/>
      <c r="HXF13" s="513"/>
      <c r="HXG13" s="513"/>
      <c r="HXH13" s="513"/>
      <c r="HXI13" s="513"/>
      <c r="HXJ13" s="513"/>
      <c r="HXK13" s="513"/>
      <c r="HXL13" s="513"/>
      <c r="HXM13" s="513"/>
      <c r="HXN13" s="513"/>
      <c r="HXO13" s="513"/>
      <c r="HXP13" s="513"/>
      <c r="HXQ13" s="513"/>
      <c r="HXR13" s="513"/>
      <c r="HXS13" s="513"/>
      <c r="HXT13" s="513"/>
      <c r="HXU13" s="513"/>
      <c r="HXV13" s="513"/>
      <c r="HXW13" s="513"/>
      <c r="HXX13" s="513"/>
      <c r="HXY13" s="513"/>
      <c r="HXZ13" s="513"/>
      <c r="HYA13" s="513"/>
      <c r="HYB13" s="513"/>
      <c r="HYC13" s="513"/>
      <c r="HYD13" s="513"/>
      <c r="HYE13" s="513"/>
      <c r="HYF13" s="513"/>
      <c r="HYG13" s="513"/>
      <c r="HYH13" s="513"/>
      <c r="HYI13" s="513"/>
      <c r="HYJ13" s="513"/>
      <c r="HYK13" s="513"/>
      <c r="HYL13" s="513"/>
      <c r="HYM13" s="513"/>
      <c r="HYN13" s="513"/>
      <c r="HYO13" s="513"/>
      <c r="HYP13" s="513"/>
      <c r="HYQ13" s="513"/>
      <c r="HYR13" s="513"/>
      <c r="HYS13" s="513"/>
      <c r="HYT13" s="513"/>
      <c r="HYU13" s="513"/>
      <c r="HYV13" s="513"/>
      <c r="HYW13" s="513"/>
      <c r="HYX13" s="513"/>
      <c r="HYY13" s="513"/>
      <c r="HYZ13" s="513"/>
      <c r="HZA13" s="513"/>
      <c r="HZB13" s="513"/>
      <c r="HZC13" s="513"/>
      <c r="HZD13" s="513"/>
      <c r="HZE13" s="513"/>
      <c r="HZF13" s="513"/>
      <c r="HZG13" s="513"/>
      <c r="HZH13" s="513"/>
      <c r="HZI13" s="513"/>
      <c r="HZJ13" s="513"/>
      <c r="HZK13" s="513"/>
      <c r="HZL13" s="513"/>
      <c r="HZM13" s="513"/>
      <c r="HZN13" s="513"/>
      <c r="HZO13" s="513"/>
      <c r="HZP13" s="513"/>
      <c r="HZQ13" s="513"/>
      <c r="HZR13" s="513"/>
      <c r="HZS13" s="513"/>
      <c r="HZT13" s="513"/>
      <c r="HZU13" s="513"/>
      <c r="HZV13" s="513"/>
      <c r="HZW13" s="513"/>
      <c r="HZX13" s="513"/>
      <c r="HZY13" s="513"/>
      <c r="HZZ13" s="513"/>
      <c r="IAA13" s="513"/>
      <c r="IAB13" s="513"/>
      <c r="IAC13" s="513"/>
      <c r="IAD13" s="513"/>
      <c r="IAE13" s="513"/>
      <c r="IAF13" s="513"/>
      <c r="IAG13" s="513"/>
      <c r="IAH13" s="513"/>
      <c r="IAI13" s="513"/>
      <c r="IAJ13" s="513"/>
      <c r="IAK13" s="513"/>
      <c r="IAL13" s="513"/>
      <c r="IAM13" s="513"/>
      <c r="IAN13" s="513"/>
      <c r="IAO13" s="513"/>
      <c r="IAP13" s="513"/>
      <c r="IAQ13" s="513"/>
      <c r="IAR13" s="513"/>
      <c r="IAS13" s="513"/>
      <c r="IAT13" s="513"/>
      <c r="IAU13" s="513"/>
      <c r="IAV13" s="513"/>
      <c r="IAW13" s="513"/>
      <c r="IAX13" s="513"/>
      <c r="IAY13" s="513"/>
      <c r="IAZ13" s="513"/>
      <c r="IBA13" s="513"/>
      <c r="IBB13" s="513"/>
      <c r="IBC13" s="513"/>
      <c r="IBD13" s="513"/>
      <c r="IBE13" s="513"/>
      <c r="IBF13" s="513"/>
      <c r="IBG13" s="513"/>
      <c r="IBH13" s="513"/>
      <c r="IBI13" s="513"/>
      <c r="IBJ13" s="513"/>
      <c r="IBK13" s="513"/>
      <c r="IBL13" s="513"/>
      <c r="IBM13" s="513"/>
      <c r="IBN13" s="513"/>
      <c r="IBO13" s="513"/>
      <c r="IBP13" s="513"/>
      <c r="IBQ13" s="513"/>
      <c r="IBR13" s="513"/>
      <c r="IBS13" s="513"/>
      <c r="IBT13" s="513"/>
      <c r="IBU13" s="513"/>
      <c r="IBV13" s="513"/>
      <c r="IBW13" s="513"/>
      <c r="IBX13" s="513"/>
      <c r="IBY13" s="513"/>
      <c r="IBZ13" s="513"/>
      <c r="ICA13" s="513"/>
      <c r="ICB13" s="513"/>
      <c r="ICC13" s="513"/>
      <c r="ICD13" s="513"/>
      <c r="ICE13" s="513"/>
      <c r="ICF13" s="513"/>
      <c r="ICG13" s="513"/>
      <c r="ICH13" s="513"/>
      <c r="ICI13" s="513"/>
      <c r="ICJ13" s="513"/>
      <c r="ICK13" s="513"/>
      <c r="ICL13" s="513"/>
      <c r="ICM13" s="513"/>
      <c r="ICN13" s="513"/>
      <c r="ICO13" s="513"/>
      <c r="ICP13" s="513"/>
      <c r="ICQ13" s="513"/>
      <c r="ICR13" s="513"/>
      <c r="ICS13" s="513"/>
      <c r="ICT13" s="513"/>
      <c r="ICU13" s="513"/>
      <c r="ICV13" s="513"/>
      <c r="ICW13" s="513"/>
      <c r="ICX13" s="513"/>
      <c r="ICY13" s="513"/>
      <c r="ICZ13" s="513"/>
      <c r="IDA13" s="513"/>
      <c r="IDB13" s="513"/>
      <c r="IDC13" s="513"/>
      <c r="IDD13" s="513"/>
      <c r="IDE13" s="513"/>
      <c r="IDF13" s="513"/>
      <c r="IDG13" s="513"/>
      <c r="IDH13" s="513"/>
      <c r="IDI13" s="513"/>
      <c r="IDJ13" s="513"/>
      <c r="IDK13" s="513"/>
      <c r="IDL13" s="513"/>
      <c r="IDM13" s="513"/>
      <c r="IDN13" s="513"/>
      <c r="IDO13" s="513"/>
      <c r="IDP13" s="513"/>
      <c r="IDQ13" s="513"/>
      <c r="IDR13" s="513"/>
      <c r="IDS13" s="513"/>
      <c r="IDT13" s="513"/>
      <c r="IDU13" s="513"/>
      <c r="IDV13" s="513"/>
      <c r="IDW13" s="513"/>
      <c r="IDX13" s="513"/>
      <c r="IDY13" s="513"/>
      <c r="IDZ13" s="513"/>
      <c r="IEA13" s="513"/>
      <c r="IEB13" s="513"/>
      <c r="IEC13" s="513"/>
      <c r="IED13" s="513"/>
      <c r="IEE13" s="513"/>
      <c r="IEF13" s="513"/>
      <c r="IEG13" s="513"/>
      <c r="IEH13" s="513"/>
      <c r="IEI13" s="513"/>
      <c r="IEJ13" s="513"/>
      <c r="IEK13" s="513"/>
      <c r="IEL13" s="513"/>
      <c r="IEM13" s="513"/>
      <c r="IEN13" s="513"/>
      <c r="IEO13" s="513"/>
      <c r="IEP13" s="513"/>
      <c r="IEQ13" s="513"/>
      <c r="IER13" s="513"/>
      <c r="IES13" s="513"/>
      <c r="IET13" s="513"/>
      <c r="IEU13" s="513"/>
      <c r="IEV13" s="513"/>
      <c r="IEW13" s="513"/>
      <c r="IEX13" s="513"/>
      <c r="IEY13" s="513"/>
      <c r="IEZ13" s="513"/>
      <c r="IFA13" s="513"/>
      <c r="IFB13" s="513"/>
      <c r="IFC13" s="513"/>
      <c r="IFD13" s="513"/>
      <c r="IFE13" s="513"/>
      <c r="IFF13" s="513"/>
      <c r="IFG13" s="513"/>
      <c r="IFH13" s="513"/>
      <c r="IFI13" s="513"/>
      <c r="IFJ13" s="513"/>
      <c r="IFK13" s="513"/>
      <c r="IFL13" s="513"/>
      <c r="IFM13" s="513"/>
      <c r="IFN13" s="513"/>
      <c r="IFO13" s="513"/>
      <c r="IFP13" s="513"/>
      <c r="IFQ13" s="513"/>
      <c r="IFR13" s="513"/>
      <c r="IFS13" s="513"/>
      <c r="IFT13" s="513"/>
      <c r="IFU13" s="513"/>
      <c r="IFV13" s="513"/>
      <c r="IFW13" s="513"/>
      <c r="IFX13" s="513"/>
      <c r="IFY13" s="513"/>
      <c r="IFZ13" s="513"/>
      <c r="IGA13" s="513"/>
      <c r="IGB13" s="513"/>
      <c r="IGC13" s="513"/>
      <c r="IGD13" s="513"/>
      <c r="IGE13" s="513"/>
      <c r="IGF13" s="513"/>
      <c r="IGG13" s="513"/>
      <c r="IGH13" s="513"/>
      <c r="IGI13" s="513"/>
      <c r="IGJ13" s="513"/>
      <c r="IGK13" s="513"/>
      <c r="IGL13" s="513"/>
      <c r="IGM13" s="513"/>
      <c r="IGN13" s="513"/>
      <c r="IGO13" s="513"/>
      <c r="IGP13" s="513"/>
      <c r="IGQ13" s="513"/>
      <c r="IGR13" s="513"/>
      <c r="IGS13" s="513"/>
      <c r="IGT13" s="513"/>
      <c r="IGU13" s="513"/>
      <c r="IGV13" s="513"/>
      <c r="IGW13" s="513"/>
      <c r="IGX13" s="513"/>
      <c r="IGY13" s="513"/>
      <c r="IGZ13" s="513"/>
      <c r="IHA13" s="513"/>
      <c r="IHB13" s="513"/>
      <c r="IHC13" s="513"/>
      <c r="IHD13" s="513"/>
      <c r="IHE13" s="513"/>
      <c r="IHF13" s="513"/>
      <c r="IHG13" s="513"/>
      <c r="IHH13" s="513"/>
      <c r="IHI13" s="513"/>
      <c r="IHJ13" s="513"/>
      <c r="IHK13" s="513"/>
      <c r="IHL13" s="513"/>
      <c r="IHM13" s="513"/>
      <c r="IHN13" s="513"/>
      <c r="IHO13" s="513"/>
      <c r="IHP13" s="513"/>
      <c r="IHQ13" s="513"/>
      <c r="IHR13" s="513"/>
      <c r="IHS13" s="513"/>
      <c r="IHT13" s="513"/>
      <c r="IHU13" s="513"/>
      <c r="IHV13" s="513"/>
      <c r="IHW13" s="513"/>
      <c r="IHX13" s="513"/>
      <c r="IHY13" s="513"/>
      <c r="IHZ13" s="513"/>
      <c r="IIA13" s="513"/>
      <c r="IIB13" s="513"/>
      <c r="IIC13" s="513"/>
      <c r="IID13" s="513"/>
      <c r="IIE13" s="513"/>
      <c r="IIF13" s="513"/>
      <c r="IIG13" s="513"/>
      <c r="IIH13" s="513"/>
      <c r="III13" s="513"/>
      <c r="IIJ13" s="513"/>
      <c r="IIK13" s="513"/>
      <c r="IIL13" s="513"/>
      <c r="IIM13" s="513"/>
      <c r="IIN13" s="513"/>
      <c r="IIO13" s="513"/>
      <c r="IIP13" s="513"/>
      <c r="IIQ13" s="513"/>
      <c r="IIR13" s="513"/>
      <c r="IIS13" s="513"/>
      <c r="IIT13" s="513"/>
      <c r="IIU13" s="513"/>
      <c r="IIV13" s="513"/>
      <c r="IIW13" s="513"/>
      <c r="IIX13" s="513"/>
      <c r="IIY13" s="513"/>
      <c r="IIZ13" s="513"/>
      <c r="IJA13" s="513"/>
      <c r="IJB13" s="513"/>
      <c r="IJC13" s="513"/>
      <c r="IJD13" s="513"/>
      <c r="IJE13" s="513"/>
      <c r="IJF13" s="513"/>
      <c r="IJG13" s="513"/>
      <c r="IJH13" s="513"/>
      <c r="IJI13" s="513"/>
      <c r="IJJ13" s="513"/>
      <c r="IJK13" s="513"/>
      <c r="IJL13" s="513"/>
      <c r="IJM13" s="513"/>
      <c r="IJN13" s="513"/>
      <c r="IJO13" s="513"/>
      <c r="IJP13" s="513"/>
      <c r="IJQ13" s="513"/>
      <c r="IJR13" s="513"/>
      <c r="IJS13" s="513"/>
      <c r="IJT13" s="513"/>
      <c r="IJU13" s="513"/>
      <c r="IJV13" s="513"/>
      <c r="IJW13" s="513"/>
      <c r="IJX13" s="513"/>
      <c r="IJY13" s="513"/>
      <c r="IJZ13" s="513"/>
      <c r="IKA13" s="513"/>
      <c r="IKB13" s="513"/>
      <c r="IKC13" s="513"/>
      <c r="IKD13" s="513"/>
      <c r="IKE13" s="513"/>
      <c r="IKF13" s="513"/>
      <c r="IKG13" s="513"/>
      <c r="IKH13" s="513"/>
      <c r="IKI13" s="513"/>
      <c r="IKJ13" s="513"/>
      <c r="IKK13" s="513"/>
      <c r="IKL13" s="513"/>
      <c r="IKM13" s="513"/>
      <c r="IKN13" s="513"/>
      <c r="IKO13" s="513"/>
      <c r="IKP13" s="513"/>
      <c r="IKQ13" s="513"/>
      <c r="IKR13" s="513"/>
      <c r="IKS13" s="513"/>
      <c r="IKT13" s="513"/>
      <c r="IKU13" s="513"/>
      <c r="IKV13" s="513"/>
      <c r="IKW13" s="513"/>
      <c r="IKX13" s="513"/>
      <c r="IKY13" s="513"/>
      <c r="IKZ13" s="513"/>
      <c r="ILA13" s="513"/>
      <c r="ILB13" s="513"/>
      <c r="ILC13" s="513"/>
      <c r="ILD13" s="513"/>
      <c r="ILE13" s="513"/>
      <c r="ILF13" s="513"/>
      <c r="ILG13" s="513"/>
      <c r="ILH13" s="513"/>
      <c r="ILI13" s="513"/>
      <c r="ILJ13" s="513"/>
      <c r="ILK13" s="513"/>
      <c r="ILL13" s="513"/>
      <c r="ILM13" s="513"/>
      <c r="ILN13" s="513"/>
      <c r="ILO13" s="513"/>
      <c r="ILP13" s="513"/>
      <c r="ILQ13" s="513"/>
      <c r="ILR13" s="513"/>
      <c r="ILS13" s="513"/>
      <c r="ILT13" s="513"/>
      <c r="ILU13" s="513"/>
      <c r="ILV13" s="513"/>
      <c r="ILW13" s="513"/>
      <c r="ILX13" s="513"/>
      <c r="ILY13" s="513"/>
      <c r="ILZ13" s="513"/>
      <c r="IMA13" s="513"/>
      <c r="IMB13" s="513"/>
      <c r="IMC13" s="513"/>
      <c r="IMD13" s="513"/>
      <c r="IME13" s="513"/>
      <c r="IMF13" s="513"/>
      <c r="IMG13" s="513"/>
      <c r="IMH13" s="513"/>
      <c r="IMI13" s="513"/>
      <c r="IMJ13" s="513"/>
      <c r="IMK13" s="513"/>
      <c r="IML13" s="513"/>
      <c r="IMM13" s="513"/>
      <c r="IMN13" s="513"/>
      <c r="IMO13" s="513"/>
      <c r="IMP13" s="513"/>
      <c r="IMQ13" s="513"/>
      <c r="IMR13" s="513"/>
      <c r="IMS13" s="513"/>
      <c r="IMT13" s="513"/>
      <c r="IMU13" s="513"/>
      <c r="IMV13" s="513"/>
      <c r="IMW13" s="513"/>
      <c r="IMX13" s="513"/>
      <c r="IMY13" s="513"/>
      <c r="IMZ13" s="513"/>
      <c r="INA13" s="513"/>
      <c r="INB13" s="513"/>
      <c r="INC13" s="513"/>
      <c r="IND13" s="513"/>
      <c r="INE13" s="513"/>
      <c r="INF13" s="513"/>
      <c r="ING13" s="513"/>
      <c r="INH13" s="513"/>
      <c r="INI13" s="513"/>
      <c r="INJ13" s="513"/>
      <c r="INK13" s="513"/>
      <c r="INL13" s="513"/>
      <c r="INM13" s="513"/>
      <c r="INN13" s="513"/>
      <c r="INO13" s="513"/>
      <c r="INP13" s="513"/>
      <c r="INQ13" s="513"/>
      <c r="INR13" s="513"/>
      <c r="INS13" s="513"/>
      <c r="INT13" s="513"/>
      <c r="INU13" s="513"/>
      <c r="INV13" s="513"/>
      <c r="INW13" s="513"/>
      <c r="INX13" s="513"/>
      <c r="INY13" s="513"/>
      <c r="INZ13" s="513"/>
      <c r="IOA13" s="513"/>
      <c r="IOB13" s="513"/>
      <c r="IOC13" s="513"/>
      <c r="IOD13" s="513"/>
      <c r="IOE13" s="513"/>
      <c r="IOF13" s="513"/>
      <c r="IOG13" s="513"/>
      <c r="IOH13" s="513"/>
      <c r="IOI13" s="513"/>
      <c r="IOJ13" s="513"/>
      <c r="IOK13" s="513"/>
      <c r="IOL13" s="513"/>
      <c r="IOM13" s="513"/>
      <c r="ION13" s="513"/>
      <c r="IOO13" s="513"/>
      <c r="IOP13" s="513"/>
      <c r="IOQ13" s="513"/>
      <c r="IOR13" s="513"/>
      <c r="IOS13" s="513"/>
      <c r="IOT13" s="513"/>
      <c r="IOU13" s="513"/>
      <c r="IOV13" s="513"/>
      <c r="IOW13" s="513"/>
      <c r="IOX13" s="513"/>
      <c r="IOY13" s="513"/>
      <c r="IOZ13" s="513"/>
      <c r="IPA13" s="513"/>
      <c r="IPB13" s="513"/>
      <c r="IPC13" s="513"/>
      <c r="IPD13" s="513"/>
      <c r="IPE13" s="513"/>
      <c r="IPF13" s="513"/>
      <c r="IPG13" s="513"/>
      <c r="IPH13" s="513"/>
      <c r="IPI13" s="513"/>
      <c r="IPJ13" s="513"/>
      <c r="IPK13" s="513"/>
      <c r="IPL13" s="513"/>
      <c r="IPM13" s="513"/>
      <c r="IPN13" s="513"/>
      <c r="IPO13" s="513"/>
      <c r="IPP13" s="513"/>
      <c r="IPQ13" s="513"/>
      <c r="IPR13" s="513"/>
      <c r="IPS13" s="513"/>
      <c r="IPT13" s="513"/>
      <c r="IPU13" s="513"/>
      <c r="IPV13" s="513"/>
      <c r="IPW13" s="513"/>
      <c r="IPX13" s="513"/>
      <c r="IPY13" s="513"/>
      <c r="IPZ13" s="513"/>
      <c r="IQA13" s="513"/>
      <c r="IQB13" s="513"/>
      <c r="IQC13" s="513"/>
      <c r="IQD13" s="513"/>
      <c r="IQE13" s="513"/>
      <c r="IQF13" s="513"/>
      <c r="IQG13" s="513"/>
      <c r="IQH13" s="513"/>
      <c r="IQI13" s="513"/>
      <c r="IQJ13" s="513"/>
      <c r="IQK13" s="513"/>
      <c r="IQL13" s="513"/>
      <c r="IQM13" s="513"/>
      <c r="IQN13" s="513"/>
      <c r="IQO13" s="513"/>
      <c r="IQP13" s="513"/>
      <c r="IQQ13" s="513"/>
      <c r="IQR13" s="513"/>
      <c r="IQS13" s="513"/>
      <c r="IQT13" s="513"/>
      <c r="IQU13" s="513"/>
      <c r="IQV13" s="513"/>
      <c r="IQW13" s="513"/>
      <c r="IQX13" s="513"/>
      <c r="IQY13" s="513"/>
      <c r="IQZ13" s="513"/>
      <c r="IRA13" s="513"/>
      <c r="IRB13" s="513"/>
      <c r="IRC13" s="513"/>
      <c r="IRD13" s="513"/>
      <c r="IRE13" s="513"/>
      <c r="IRF13" s="513"/>
      <c r="IRG13" s="513"/>
      <c r="IRH13" s="513"/>
      <c r="IRI13" s="513"/>
      <c r="IRJ13" s="513"/>
      <c r="IRK13" s="513"/>
      <c r="IRL13" s="513"/>
      <c r="IRM13" s="513"/>
      <c r="IRN13" s="513"/>
      <c r="IRO13" s="513"/>
      <c r="IRP13" s="513"/>
      <c r="IRQ13" s="513"/>
      <c r="IRR13" s="513"/>
      <c r="IRS13" s="513"/>
      <c r="IRT13" s="513"/>
      <c r="IRU13" s="513"/>
      <c r="IRV13" s="513"/>
      <c r="IRW13" s="513"/>
      <c r="IRX13" s="513"/>
      <c r="IRY13" s="513"/>
      <c r="IRZ13" s="513"/>
      <c r="ISA13" s="513"/>
      <c r="ISB13" s="513"/>
      <c r="ISC13" s="513"/>
      <c r="ISD13" s="513"/>
      <c r="ISE13" s="513"/>
      <c r="ISF13" s="513"/>
      <c r="ISG13" s="513"/>
      <c r="ISH13" s="513"/>
      <c r="ISI13" s="513"/>
      <c r="ISJ13" s="513"/>
      <c r="ISK13" s="513"/>
      <c r="ISL13" s="513"/>
      <c r="ISM13" s="513"/>
      <c r="ISN13" s="513"/>
      <c r="ISO13" s="513"/>
      <c r="ISP13" s="513"/>
      <c r="ISQ13" s="513"/>
      <c r="ISR13" s="513"/>
      <c r="ISS13" s="513"/>
      <c r="IST13" s="513"/>
      <c r="ISU13" s="513"/>
      <c r="ISV13" s="513"/>
      <c r="ISW13" s="513"/>
      <c r="ISX13" s="513"/>
      <c r="ISY13" s="513"/>
      <c r="ISZ13" s="513"/>
      <c r="ITA13" s="513"/>
      <c r="ITB13" s="513"/>
      <c r="ITC13" s="513"/>
      <c r="ITD13" s="513"/>
      <c r="ITE13" s="513"/>
      <c r="ITF13" s="513"/>
      <c r="ITG13" s="513"/>
      <c r="ITH13" s="513"/>
      <c r="ITI13" s="513"/>
      <c r="ITJ13" s="513"/>
      <c r="ITK13" s="513"/>
      <c r="ITL13" s="513"/>
      <c r="ITM13" s="513"/>
      <c r="ITN13" s="513"/>
      <c r="ITO13" s="513"/>
      <c r="ITP13" s="513"/>
      <c r="ITQ13" s="513"/>
      <c r="ITR13" s="513"/>
      <c r="ITS13" s="513"/>
      <c r="ITT13" s="513"/>
      <c r="ITU13" s="513"/>
      <c r="ITV13" s="513"/>
      <c r="ITW13" s="513"/>
      <c r="ITX13" s="513"/>
      <c r="ITY13" s="513"/>
      <c r="ITZ13" s="513"/>
      <c r="IUA13" s="513"/>
      <c r="IUB13" s="513"/>
      <c r="IUC13" s="513"/>
      <c r="IUD13" s="513"/>
      <c r="IUE13" s="513"/>
      <c r="IUF13" s="513"/>
      <c r="IUG13" s="513"/>
      <c r="IUH13" s="513"/>
      <c r="IUI13" s="513"/>
      <c r="IUJ13" s="513"/>
      <c r="IUK13" s="513"/>
      <c r="IUL13" s="513"/>
      <c r="IUM13" s="513"/>
      <c r="IUN13" s="513"/>
      <c r="IUO13" s="513"/>
      <c r="IUP13" s="513"/>
      <c r="IUQ13" s="513"/>
      <c r="IUR13" s="513"/>
      <c r="IUS13" s="513"/>
      <c r="IUT13" s="513"/>
      <c r="IUU13" s="513"/>
      <c r="IUV13" s="513"/>
      <c r="IUW13" s="513"/>
      <c r="IUX13" s="513"/>
      <c r="IUY13" s="513"/>
      <c r="IUZ13" s="513"/>
      <c r="IVA13" s="513"/>
      <c r="IVB13" s="513"/>
      <c r="IVC13" s="513"/>
      <c r="IVD13" s="513"/>
      <c r="IVE13" s="513"/>
      <c r="IVF13" s="513"/>
      <c r="IVG13" s="513"/>
      <c r="IVH13" s="513"/>
      <c r="IVI13" s="513"/>
      <c r="IVJ13" s="513"/>
      <c r="IVK13" s="513"/>
      <c r="IVL13" s="513"/>
      <c r="IVM13" s="513"/>
      <c r="IVN13" s="513"/>
      <c r="IVO13" s="513"/>
      <c r="IVP13" s="513"/>
      <c r="IVQ13" s="513"/>
      <c r="IVR13" s="513"/>
      <c r="IVS13" s="513"/>
      <c r="IVT13" s="513"/>
      <c r="IVU13" s="513"/>
      <c r="IVV13" s="513"/>
      <c r="IVW13" s="513"/>
      <c r="IVX13" s="513"/>
      <c r="IVY13" s="513"/>
      <c r="IVZ13" s="513"/>
      <c r="IWA13" s="513"/>
      <c r="IWB13" s="513"/>
      <c r="IWC13" s="513"/>
      <c r="IWD13" s="513"/>
      <c r="IWE13" s="513"/>
      <c r="IWF13" s="513"/>
      <c r="IWG13" s="513"/>
      <c r="IWH13" s="513"/>
      <c r="IWI13" s="513"/>
      <c r="IWJ13" s="513"/>
      <c r="IWK13" s="513"/>
      <c r="IWL13" s="513"/>
      <c r="IWM13" s="513"/>
      <c r="IWN13" s="513"/>
      <c r="IWO13" s="513"/>
      <c r="IWP13" s="513"/>
      <c r="IWQ13" s="513"/>
      <c r="IWR13" s="513"/>
      <c r="IWS13" s="513"/>
      <c r="IWT13" s="513"/>
      <c r="IWU13" s="513"/>
      <c r="IWV13" s="513"/>
      <c r="IWW13" s="513"/>
      <c r="IWX13" s="513"/>
      <c r="IWY13" s="513"/>
      <c r="IWZ13" s="513"/>
      <c r="IXA13" s="513"/>
      <c r="IXB13" s="513"/>
      <c r="IXC13" s="513"/>
      <c r="IXD13" s="513"/>
      <c r="IXE13" s="513"/>
      <c r="IXF13" s="513"/>
      <c r="IXG13" s="513"/>
      <c r="IXH13" s="513"/>
      <c r="IXI13" s="513"/>
      <c r="IXJ13" s="513"/>
      <c r="IXK13" s="513"/>
      <c r="IXL13" s="513"/>
      <c r="IXM13" s="513"/>
      <c r="IXN13" s="513"/>
      <c r="IXO13" s="513"/>
      <c r="IXP13" s="513"/>
      <c r="IXQ13" s="513"/>
      <c r="IXR13" s="513"/>
      <c r="IXS13" s="513"/>
      <c r="IXT13" s="513"/>
      <c r="IXU13" s="513"/>
      <c r="IXV13" s="513"/>
      <c r="IXW13" s="513"/>
      <c r="IXX13" s="513"/>
      <c r="IXY13" s="513"/>
      <c r="IXZ13" s="513"/>
      <c r="IYA13" s="513"/>
      <c r="IYB13" s="513"/>
      <c r="IYC13" s="513"/>
      <c r="IYD13" s="513"/>
      <c r="IYE13" s="513"/>
      <c r="IYF13" s="513"/>
      <c r="IYG13" s="513"/>
      <c r="IYH13" s="513"/>
      <c r="IYI13" s="513"/>
      <c r="IYJ13" s="513"/>
      <c r="IYK13" s="513"/>
      <c r="IYL13" s="513"/>
      <c r="IYM13" s="513"/>
      <c r="IYN13" s="513"/>
      <c r="IYO13" s="513"/>
      <c r="IYP13" s="513"/>
      <c r="IYQ13" s="513"/>
      <c r="IYR13" s="513"/>
      <c r="IYS13" s="513"/>
      <c r="IYT13" s="513"/>
      <c r="IYU13" s="513"/>
      <c r="IYV13" s="513"/>
      <c r="IYW13" s="513"/>
      <c r="IYX13" s="513"/>
      <c r="IYY13" s="513"/>
      <c r="IYZ13" s="513"/>
      <c r="IZA13" s="513"/>
      <c r="IZB13" s="513"/>
      <c r="IZC13" s="513"/>
      <c r="IZD13" s="513"/>
      <c r="IZE13" s="513"/>
      <c r="IZF13" s="513"/>
      <c r="IZG13" s="513"/>
      <c r="IZH13" s="513"/>
      <c r="IZI13" s="513"/>
      <c r="IZJ13" s="513"/>
      <c r="IZK13" s="513"/>
      <c r="IZL13" s="513"/>
      <c r="IZM13" s="513"/>
      <c r="IZN13" s="513"/>
      <c r="IZO13" s="513"/>
      <c r="IZP13" s="513"/>
      <c r="IZQ13" s="513"/>
      <c r="IZR13" s="513"/>
      <c r="IZS13" s="513"/>
      <c r="IZT13" s="513"/>
      <c r="IZU13" s="513"/>
      <c r="IZV13" s="513"/>
      <c r="IZW13" s="513"/>
      <c r="IZX13" s="513"/>
      <c r="IZY13" s="513"/>
      <c r="IZZ13" s="513"/>
      <c r="JAA13" s="513"/>
      <c r="JAB13" s="513"/>
      <c r="JAC13" s="513"/>
      <c r="JAD13" s="513"/>
      <c r="JAE13" s="513"/>
      <c r="JAF13" s="513"/>
      <c r="JAG13" s="513"/>
      <c r="JAH13" s="513"/>
      <c r="JAI13" s="513"/>
      <c r="JAJ13" s="513"/>
      <c r="JAK13" s="513"/>
      <c r="JAL13" s="513"/>
      <c r="JAM13" s="513"/>
      <c r="JAN13" s="513"/>
      <c r="JAO13" s="513"/>
      <c r="JAP13" s="513"/>
      <c r="JAQ13" s="513"/>
      <c r="JAR13" s="513"/>
      <c r="JAS13" s="513"/>
      <c r="JAT13" s="513"/>
      <c r="JAU13" s="513"/>
      <c r="JAV13" s="513"/>
      <c r="JAW13" s="513"/>
      <c r="JAX13" s="513"/>
      <c r="JAY13" s="513"/>
      <c r="JAZ13" s="513"/>
      <c r="JBA13" s="513"/>
      <c r="JBB13" s="513"/>
      <c r="JBC13" s="513"/>
      <c r="JBD13" s="513"/>
      <c r="JBE13" s="513"/>
      <c r="JBF13" s="513"/>
      <c r="JBG13" s="513"/>
      <c r="JBH13" s="513"/>
      <c r="JBI13" s="513"/>
      <c r="JBJ13" s="513"/>
      <c r="JBK13" s="513"/>
      <c r="JBL13" s="513"/>
      <c r="JBM13" s="513"/>
      <c r="JBN13" s="513"/>
      <c r="JBO13" s="513"/>
      <c r="JBP13" s="513"/>
      <c r="JBQ13" s="513"/>
      <c r="JBR13" s="513"/>
      <c r="JBS13" s="513"/>
      <c r="JBT13" s="513"/>
      <c r="JBU13" s="513"/>
      <c r="JBV13" s="513"/>
      <c r="JBW13" s="513"/>
      <c r="JBX13" s="513"/>
      <c r="JBY13" s="513"/>
      <c r="JBZ13" s="513"/>
      <c r="JCA13" s="513"/>
      <c r="JCB13" s="513"/>
      <c r="JCC13" s="513"/>
      <c r="JCD13" s="513"/>
      <c r="JCE13" s="513"/>
      <c r="JCF13" s="513"/>
      <c r="JCG13" s="513"/>
      <c r="JCH13" s="513"/>
      <c r="JCI13" s="513"/>
      <c r="JCJ13" s="513"/>
      <c r="JCK13" s="513"/>
      <c r="JCL13" s="513"/>
      <c r="JCM13" s="513"/>
      <c r="JCN13" s="513"/>
      <c r="JCO13" s="513"/>
      <c r="JCP13" s="513"/>
      <c r="JCQ13" s="513"/>
      <c r="JCR13" s="513"/>
      <c r="JCS13" s="513"/>
      <c r="JCT13" s="513"/>
      <c r="JCU13" s="513"/>
      <c r="JCV13" s="513"/>
      <c r="JCW13" s="513"/>
      <c r="JCX13" s="513"/>
      <c r="JCY13" s="513"/>
      <c r="JCZ13" s="513"/>
      <c r="JDA13" s="513"/>
      <c r="JDB13" s="513"/>
      <c r="JDC13" s="513"/>
      <c r="JDD13" s="513"/>
      <c r="JDE13" s="513"/>
      <c r="JDF13" s="513"/>
      <c r="JDG13" s="513"/>
      <c r="JDH13" s="513"/>
      <c r="JDI13" s="513"/>
      <c r="JDJ13" s="513"/>
      <c r="JDK13" s="513"/>
      <c r="JDL13" s="513"/>
      <c r="JDM13" s="513"/>
      <c r="JDN13" s="513"/>
      <c r="JDO13" s="513"/>
      <c r="JDP13" s="513"/>
      <c r="JDQ13" s="513"/>
      <c r="JDR13" s="513"/>
      <c r="JDS13" s="513"/>
      <c r="JDT13" s="513"/>
      <c r="JDU13" s="513"/>
      <c r="JDV13" s="513"/>
      <c r="JDW13" s="513"/>
      <c r="JDX13" s="513"/>
      <c r="JDY13" s="513"/>
      <c r="JDZ13" s="513"/>
      <c r="JEA13" s="513"/>
      <c r="JEB13" s="513"/>
      <c r="JEC13" s="513"/>
      <c r="JED13" s="513"/>
      <c r="JEE13" s="513"/>
      <c r="JEF13" s="513"/>
      <c r="JEG13" s="513"/>
      <c r="JEH13" s="513"/>
      <c r="JEI13" s="513"/>
      <c r="JEJ13" s="513"/>
      <c r="JEK13" s="513"/>
      <c r="JEL13" s="513"/>
      <c r="JEM13" s="513"/>
      <c r="JEN13" s="513"/>
      <c r="JEO13" s="513"/>
      <c r="JEP13" s="513"/>
      <c r="JEQ13" s="513"/>
      <c r="JER13" s="513"/>
      <c r="JES13" s="513"/>
      <c r="JET13" s="513"/>
      <c r="JEU13" s="513"/>
      <c r="JEV13" s="513"/>
      <c r="JEW13" s="513"/>
      <c r="JEX13" s="513"/>
      <c r="JEY13" s="513"/>
      <c r="JEZ13" s="513"/>
      <c r="JFA13" s="513"/>
      <c r="JFB13" s="513"/>
      <c r="JFC13" s="513"/>
      <c r="JFD13" s="513"/>
      <c r="JFE13" s="513"/>
      <c r="JFF13" s="513"/>
      <c r="JFG13" s="513"/>
      <c r="JFH13" s="513"/>
      <c r="JFI13" s="513"/>
      <c r="JFJ13" s="513"/>
      <c r="JFK13" s="513"/>
      <c r="JFL13" s="513"/>
      <c r="JFM13" s="513"/>
      <c r="JFN13" s="513"/>
      <c r="JFO13" s="513"/>
      <c r="JFP13" s="513"/>
      <c r="JFQ13" s="513"/>
      <c r="JFR13" s="513"/>
      <c r="JFS13" s="513"/>
      <c r="JFT13" s="513"/>
      <c r="JFU13" s="513"/>
      <c r="JFV13" s="513"/>
      <c r="JFW13" s="513"/>
      <c r="JFX13" s="513"/>
      <c r="JFY13" s="513"/>
      <c r="JFZ13" s="513"/>
      <c r="JGA13" s="513"/>
      <c r="JGB13" s="513"/>
      <c r="JGC13" s="513"/>
      <c r="JGD13" s="513"/>
      <c r="JGE13" s="513"/>
      <c r="JGF13" s="513"/>
      <c r="JGG13" s="513"/>
      <c r="JGH13" s="513"/>
      <c r="JGI13" s="513"/>
      <c r="JGJ13" s="513"/>
      <c r="JGK13" s="513"/>
      <c r="JGL13" s="513"/>
      <c r="JGM13" s="513"/>
      <c r="JGN13" s="513"/>
      <c r="JGO13" s="513"/>
      <c r="JGP13" s="513"/>
      <c r="JGQ13" s="513"/>
      <c r="JGR13" s="513"/>
      <c r="JGS13" s="513"/>
      <c r="JGT13" s="513"/>
      <c r="JGU13" s="513"/>
      <c r="JGV13" s="513"/>
      <c r="JGW13" s="513"/>
      <c r="JGX13" s="513"/>
      <c r="JGY13" s="513"/>
      <c r="JGZ13" s="513"/>
      <c r="JHA13" s="513"/>
      <c r="JHB13" s="513"/>
      <c r="JHC13" s="513"/>
      <c r="JHD13" s="513"/>
      <c r="JHE13" s="513"/>
      <c r="JHF13" s="513"/>
      <c r="JHG13" s="513"/>
      <c r="JHH13" s="513"/>
      <c r="JHI13" s="513"/>
      <c r="JHJ13" s="513"/>
      <c r="JHK13" s="513"/>
      <c r="JHL13" s="513"/>
      <c r="JHM13" s="513"/>
      <c r="JHN13" s="513"/>
      <c r="JHO13" s="513"/>
      <c r="JHP13" s="513"/>
      <c r="JHQ13" s="513"/>
      <c r="JHR13" s="513"/>
      <c r="JHS13" s="513"/>
      <c r="JHT13" s="513"/>
      <c r="JHU13" s="513"/>
      <c r="JHV13" s="513"/>
      <c r="JHW13" s="513"/>
      <c r="JHX13" s="513"/>
      <c r="JHY13" s="513"/>
      <c r="JHZ13" s="513"/>
      <c r="JIA13" s="513"/>
      <c r="JIB13" s="513"/>
      <c r="JIC13" s="513"/>
      <c r="JID13" s="513"/>
      <c r="JIE13" s="513"/>
      <c r="JIF13" s="513"/>
      <c r="JIG13" s="513"/>
      <c r="JIH13" s="513"/>
      <c r="JII13" s="513"/>
      <c r="JIJ13" s="513"/>
      <c r="JIK13" s="513"/>
      <c r="JIL13" s="513"/>
      <c r="JIM13" s="513"/>
      <c r="JIN13" s="513"/>
      <c r="JIO13" s="513"/>
      <c r="JIP13" s="513"/>
      <c r="JIQ13" s="513"/>
      <c r="JIR13" s="513"/>
      <c r="JIS13" s="513"/>
      <c r="JIT13" s="513"/>
      <c r="JIU13" s="513"/>
      <c r="JIV13" s="513"/>
      <c r="JIW13" s="513"/>
      <c r="JIX13" s="513"/>
      <c r="JIY13" s="513"/>
      <c r="JIZ13" s="513"/>
      <c r="JJA13" s="513"/>
      <c r="JJB13" s="513"/>
      <c r="JJC13" s="513"/>
      <c r="JJD13" s="513"/>
      <c r="JJE13" s="513"/>
      <c r="JJF13" s="513"/>
      <c r="JJG13" s="513"/>
      <c r="JJH13" s="513"/>
      <c r="JJI13" s="513"/>
      <c r="JJJ13" s="513"/>
      <c r="JJK13" s="513"/>
      <c r="JJL13" s="513"/>
      <c r="JJM13" s="513"/>
      <c r="JJN13" s="513"/>
      <c r="JJO13" s="513"/>
      <c r="JJP13" s="513"/>
      <c r="JJQ13" s="513"/>
      <c r="JJR13" s="513"/>
      <c r="JJS13" s="513"/>
      <c r="JJT13" s="513"/>
      <c r="JJU13" s="513"/>
      <c r="JJV13" s="513"/>
      <c r="JJW13" s="513"/>
      <c r="JJX13" s="513"/>
      <c r="JJY13" s="513"/>
      <c r="JJZ13" s="513"/>
      <c r="JKA13" s="513"/>
      <c r="JKB13" s="513"/>
      <c r="JKC13" s="513"/>
      <c r="JKD13" s="513"/>
      <c r="JKE13" s="513"/>
      <c r="JKF13" s="513"/>
      <c r="JKG13" s="513"/>
      <c r="JKH13" s="513"/>
      <c r="JKI13" s="513"/>
      <c r="JKJ13" s="513"/>
      <c r="JKK13" s="513"/>
      <c r="JKL13" s="513"/>
      <c r="JKM13" s="513"/>
      <c r="JKN13" s="513"/>
      <c r="JKO13" s="513"/>
      <c r="JKP13" s="513"/>
      <c r="JKQ13" s="513"/>
      <c r="JKR13" s="513"/>
      <c r="JKS13" s="513"/>
      <c r="JKT13" s="513"/>
      <c r="JKU13" s="513"/>
      <c r="JKV13" s="513"/>
      <c r="JKW13" s="513"/>
      <c r="JKX13" s="513"/>
      <c r="JKY13" s="513"/>
      <c r="JKZ13" s="513"/>
      <c r="JLA13" s="513"/>
      <c r="JLB13" s="513"/>
      <c r="JLC13" s="513"/>
      <c r="JLD13" s="513"/>
      <c r="JLE13" s="513"/>
      <c r="JLF13" s="513"/>
      <c r="JLG13" s="513"/>
      <c r="JLH13" s="513"/>
      <c r="JLI13" s="513"/>
      <c r="JLJ13" s="513"/>
      <c r="JLK13" s="513"/>
      <c r="JLL13" s="513"/>
      <c r="JLM13" s="513"/>
      <c r="JLN13" s="513"/>
      <c r="JLO13" s="513"/>
      <c r="JLP13" s="513"/>
      <c r="JLQ13" s="513"/>
      <c r="JLR13" s="513"/>
      <c r="JLS13" s="513"/>
      <c r="JLT13" s="513"/>
      <c r="JLU13" s="513"/>
      <c r="JLV13" s="513"/>
      <c r="JLW13" s="513"/>
      <c r="JLX13" s="513"/>
      <c r="JLY13" s="513"/>
      <c r="JLZ13" s="513"/>
      <c r="JMA13" s="513"/>
      <c r="JMB13" s="513"/>
      <c r="JMC13" s="513"/>
      <c r="JMD13" s="513"/>
      <c r="JME13" s="513"/>
      <c r="JMF13" s="513"/>
      <c r="JMG13" s="513"/>
      <c r="JMH13" s="513"/>
      <c r="JMI13" s="513"/>
      <c r="JMJ13" s="513"/>
      <c r="JMK13" s="513"/>
      <c r="JML13" s="513"/>
      <c r="JMM13" s="513"/>
      <c r="JMN13" s="513"/>
      <c r="JMO13" s="513"/>
      <c r="JMP13" s="513"/>
      <c r="JMQ13" s="513"/>
      <c r="JMR13" s="513"/>
      <c r="JMS13" s="513"/>
      <c r="JMT13" s="513"/>
      <c r="JMU13" s="513"/>
      <c r="JMV13" s="513"/>
      <c r="JMW13" s="513"/>
      <c r="JMX13" s="513"/>
      <c r="JMY13" s="513"/>
      <c r="JMZ13" s="513"/>
      <c r="JNA13" s="513"/>
      <c r="JNB13" s="513"/>
      <c r="JNC13" s="513"/>
      <c r="JND13" s="513"/>
      <c r="JNE13" s="513"/>
      <c r="JNF13" s="513"/>
      <c r="JNG13" s="513"/>
      <c r="JNH13" s="513"/>
      <c r="JNI13" s="513"/>
      <c r="JNJ13" s="513"/>
      <c r="JNK13" s="513"/>
      <c r="JNL13" s="513"/>
      <c r="JNM13" s="513"/>
      <c r="JNN13" s="513"/>
      <c r="JNO13" s="513"/>
      <c r="JNP13" s="513"/>
      <c r="JNQ13" s="513"/>
      <c r="JNR13" s="513"/>
      <c r="JNS13" s="513"/>
      <c r="JNT13" s="513"/>
      <c r="JNU13" s="513"/>
      <c r="JNV13" s="513"/>
      <c r="JNW13" s="513"/>
      <c r="JNX13" s="513"/>
      <c r="JNY13" s="513"/>
      <c r="JNZ13" s="513"/>
      <c r="JOA13" s="513"/>
      <c r="JOB13" s="513"/>
      <c r="JOC13" s="513"/>
      <c r="JOD13" s="513"/>
      <c r="JOE13" s="513"/>
      <c r="JOF13" s="513"/>
      <c r="JOG13" s="513"/>
      <c r="JOH13" s="513"/>
      <c r="JOI13" s="513"/>
      <c r="JOJ13" s="513"/>
      <c r="JOK13" s="513"/>
      <c r="JOL13" s="513"/>
      <c r="JOM13" s="513"/>
      <c r="JON13" s="513"/>
      <c r="JOO13" s="513"/>
      <c r="JOP13" s="513"/>
      <c r="JOQ13" s="513"/>
      <c r="JOR13" s="513"/>
      <c r="JOS13" s="513"/>
      <c r="JOT13" s="513"/>
      <c r="JOU13" s="513"/>
      <c r="JOV13" s="513"/>
      <c r="JOW13" s="513"/>
      <c r="JOX13" s="513"/>
      <c r="JOY13" s="513"/>
      <c r="JOZ13" s="513"/>
      <c r="JPA13" s="513"/>
      <c r="JPB13" s="513"/>
      <c r="JPC13" s="513"/>
      <c r="JPD13" s="513"/>
      <c r="JPE13" s="513"/>
      <c r="JPF13" s="513"/>
      <c r="JPG13" s="513"/>
      <c r="JPH13" s="513"/>
      <c r="JPI13" s="513"/>
      <c r="JPJ13" s="513"/>
      <c r="JPK13" s="513"/>
      <c r="JPL13" s="513"/>
      <c r="JPM13" s="513"/>
      <c r="JPN13" s="513"/>
      <c r="JPO13" s="513"/>
      <c r="JPP13" s="513"/>
      <c r="JPQ13" s="513"/>
      <c r="JPR13" s="513"/>
      <c r="JPS13" s="513"/>
      <c r="JPT13" s="513"/>
      <c r="JPU13" s="513"/>
      <c r="JPV13" s="513"/>
      <c r="JPW13" s="513"/>
      <c r="JPX13" s="513"/>
      <c r="JPY13" s="513"/>
      <c r="JPZ13" s="513"/>
      <c r="JQA13" s="513"/>
      <c r="JQB13" s="513"/>
      <c r="JQC13" s="513"/>
      <c r="JQD13" s="513"/>
      <c r="JQE13" s="513"/>
      <c r="JQF13" s="513"/>
      <c r="JQG13" s="513"/>
      <c r="JQH13" s="513"/>
      <c r="JQI13" s="513"/>
      <c r="JQJ13" s="513"/>
      <c r="JQK13" s="513"/>
      <c r="JQL13" s="513"/>
      <c r="JQM13" s="513"/>
      <c r="JQN13" s="513"/>
      <c r="JQO13" s="513"/>
      <c r="JQP13" s="513"/>
      <c r="JQQ13" s="513"/>
      <c r="JQR13" s="513"/>
      <c r="JQS13" s="513"/>
      <c r="JQT13" s="513"/>
      <c r="JQU13" s="513"/>
      <c r="JQV13" s="513"/>
      <c r="JQW13" s="513"/>
      <c r="JQX13" s="513"/>
      <c r="JQY13" s="513"/>
      <c r="JQZ13" s="513"/>
      <c r="JRA13" s="513"/>
      <c r="JRB13" s="513"/>
      <c r="JRC13" s="513"/>
      <c r="JRD13" s="513"/>
      <c r="JRE13" s="513"/>
      <c r="JRF13" s="513"/>
      <c r="JRG13" s="513"/>
      <c r="JRH13" s="513"/>
      <c r="JRI13" s="513"/>
      <c r="JRJ13" s="513"/>
      <c r="JRK13" s="513"/>
      <c r="JRL13" s="513"/>
      <c r="JRM13" s="513"/>
      <c r="JRN13" s="513"/>
      <c r="JRO13" s="513"/>
      <c r="JRP13" s="513"/>
      <c r="JRQ13" s="513"/>
      <c r="JRR13" s="513"/>
      <c r="JRS13" s="513"/>
      <c r="JRT13" s="513"/>
      <c r="JRU13" s="513"/>
      <c r="JRV13" s="513"/>
      <c r="JRW13" s="513"/>
      <c r="JRX13" s="513"/>
      <c r="JRY13" s="513"/>
      <c r="JRZ13" s="513"/>
      <c r="JSA13" s="513"/>
      <c r="JSB13" s="513"/>
      <c r="JSC13" s="513"/>
      <c r="JSD13" s="513"/>
      <c r="JSE13" s="513"/>
      <c r="JSF13" s="513"/>
      <c r="JSG13" s="513"/>
      <c r="JSH13" s="513"/>
      <c r="JSI13" s="513"/>
      <c r="JSJ13" s="513"/>
      <c r="JSK13" s="513"/>
      <c r="JSL13" s="513"/>
      <c r="JSM13" s="513"/>
      <c r="JSN13" s="513"/>
      <c r="JSO13" s="513"/>
      <c r="JSP13" s="513"/>
      <c r="JSQ13" s="513"/>
      <c r="JSR13" s="513"/>
      <c r="JSS13" s="513"/>
      <c r="JST13" s="513"/>
      <c r="JSU13" s="513"/>
      <c r="JSV13" s="513"/>
      <c r="JSW13" s="513"/>
      <c r="JSX13" s="513"/>
      <c r="JSY13" s="513"/>
      <c r="JSZ13" s="513"/>
      <c r="JTA13" s="513"/>
      <c r="JTB13" s="513"/>
      <c r="JTC13" s="513"/>
      <c r="JTD13" s="513"/>
      <c r="JTE13" s="513"/>
      <c r="JTF13" s="513"/>
      <c r="JTG13" s="513"/>
      <c r="JTH13" s="513"/>
      <c r="JTI13" s="513"/>
      <c r="JTJ13" s="513"/>
      <c r="JTK13" s="513"/>
      <c r="JTL13" s="513"/>
      <c r="JTM13" s="513"/>
      <c r="JTN13" s="513"/>
      <c r="JTO13" s="513"/>
      <c r="JTP13" s="513"/>
      <c r="JTQ13" s="513"/>
      <c r="JTR13" s="513"/>
      <c r="JTS13" s="513"/>
      <c r="JTT13" s="513"/>
      <c r="JTU13" s="513"/>
      <c r="JTV13" s="513"/>
      <c r="JTW13" s="513"/>
      <c r="JTX13" s="513"/>
      <c r="JTY13" s="513"/>
      <c r="JTZ13" s="513"/>
      <c r="JUA13" s="513"/>
      <c r="JUB13" s="513"/>
      <c r="JUC13" s="513"/>
      <c r="JUD13" s="513"/>
      <c r="JUE13" s="513"/>
      <c r="JUF13" s="513"/>
      <c r="JUG13" s="513"/>
      <c r="JUH13" s="513"/>
      <c r="JUI13" s="513"/>
      <c r="JUJ13" s="513"/>
      <c r="JUK13" s="513"/>
      <c r="JUL13" s="513"/>
      <c r="JUM13" s="513"/>
      <c r="JUN13" s="513"/>
      <c r="JUO13" s="513"/>
      <c r="JUP13" s="513"/>
      <c r="JUQ13" s="513"/>
      <c r="JUR13" s="513"/>
      <c r="JUS13" s="513"/>
      <c r="JUT13" s="513"/>
      <c r="JUU13" s="513"/>
      <c r="JUV13" s="513"/>
      <c r="JUW13" s="513"/>
      <c r="JUX13" s="513"/>
      <c r="JUY13" s="513"/>
      <c r="JUZ13" s="513"/>
      <c r="JVA13" s="513"/>
      <c r="JVB13" s="513"/>
      <c r="JVC13" s="513"/>
      <c r="JVD13" s="513"/>
      <c r="JVE13" s="513"/>
      <c r="JVF13" s="513"/>
      <c r="JVG13" s="513"/>
      <c r="JVH13" s="513"/>
      <c r="JVI13" s="513"/>
      <c r="JVJ13" s="513"/>
      <c r="JVK13" s="513"/>
      <c r="JVL13" s="513"/>
      <c r="JVM13" s="513"/>
      <c r="JVN13" s="513"/>
      <c r="JVO13" s="513"/>
      <c r="JVP13" s="513"/>
      <c r="JVQ13" s="513"/>
      <c r="JVR13" s="513"/>
      <c r="JVS13" s="513"/>
      <c r="JVT13" s="513"/>
      <c r="JVU13" s="513"/>
      <c r="JVV13" s="513"/>
      <c r="JVW13" s="513"/>
      <c r="JVX13" s="513"/>
      <c r="JVY13" s="513"/>
      <c r="JVZ13" s="513"/>
      <c r="JWA13" s="513"/>
      <c r="JWB13" s="513"/>
      <c r="JWC13" s="513"/>
      <c r="JWD13" s="513"/>
      <c r="JWE13" s="513"/>
      <c r="JWF13" s="513"/>
      <c r="JWG13" s="513"/>
      <c r="JWH13" s="513"/>
      <c r="JWI13" s="513"/>
      <c r="JWJ13" s="513"/>
      <c r="JWK13" s="513"/>
      <c r="JWL13" s="513"/>
      <c r="JWM13" s="513"/>
      <c r="JWN13" s="513"/>
      <c r="JWO13" s="513"/>
      <c r="JWP13" s="513"/>
      <c r="JWQ13" s="513"/>
      <c r="JWR13" s="513"/>
      <c r="JWS13" s="513"/>
      <c r="JWT13" s="513"/>
      <c r="JWU13" s="513"/>
      <c r="JWV13" s="513"/>
      <c r="JWW13" s="513"/>
      <c r="JWX13" s="513"/>
      <c r="JWY13" s="513"/>
      <c r="JWZ13" s="513"/>
      <c r="JXA13" s="513"/>
      <c r="JXB13" s="513"/>
      <c r="JXC13" s="513"/>
      <c r="JXD13" s="513"/>
      <c r="JXE13" s="513"/>
      <c r="JXF13" s="513"/>
      <c r="JXG13" s="513"/>
      <c r="JXH13" s="513"/>
      <c r="JXI13" s="513"/>
      <c r="JXJ13" s="513"/>
      <c r="JXK13" s="513"/>
      <c r="JXL13" s="513"/>
      <c r="JXM13" s="513"/>
      <c r="JXN13" s="513"/>
      <c r="JXO13" s="513"/>
      <c r="JXP13" s="513"/>
      <c r="JXQ13" s="513"/>
      <c r="JXR13" s="513"/>
      <c r="JXS13" s="513"/>
      <c r="JXT13" s="513"/>
      <c r="JXU13" s="513"/>
      <c r="JXV13" s="513"/>
      <c r="JXW13" s="513"/>
      <c r="JXX13" s="513"/>
      <c r="JXY13" s="513"/>
      <c r="JXZ13" s="513"/>
      <c r="JYA13" s="513"/>
      <c r="JYB13" s="513"/>
      <c r="JYC13" s="513"/>
      <c r="JYD13" s="513"/>
      <c r="JYE13" s="513"/>
      <c r="JYF13" s="513"/>
      <c r="JYG13" s="513"/>
      <c r="JYH13" s="513"/>
      <c r="JYI13" s="513"/>
      <c r="JYJ13" s="513"/>
      <c r="JYK13" s="513"/>
      <c r="JYL13" s="513"/>
      <c r="JYM13" s="513"/>
      <c r="JYN13" s="513"/>
      <c r="JYO13" s="513"/>
      <c r="JYP13" s="513"/>
      <c r="JYQ13" s="513"/>
      <c r="JYR13" s="513"/>
      <c r="JYS13" s="513"/>
      <c r="JYT13" s="513"/>
      <c r="JYU13" s="513"/>
      <c r="JYV13" s="513"/>
      <c r="JYW13" s="513"/>
      <c r="JYX13" s="513"/>
      <c r="JYY13" s="513"/>
      <c r="JYZ13" s="513"/>
      <c r="JZA13" s="513"/>
      <c r="JZB13" s="513"/>
      <c r="JZC13" s="513"/>
      <c r="JZD13" s="513"/>
      <c r="JZE13" s="513"/>
      <c r="JZF13" s="513"/>
      <c r="JZG13" s="513"/>
      <c r="JZH13" s="513"/>
      <c r="JZI13" s="513"/>
      <c r="JZJ13" s="513"/>
      <c r="JZK13" s="513"/>
      <c r="JZL13" s="513"/>
      <c r="JZM13" s="513"/>
      <c r="JZN13" s="513"/>
      <c r="JZO13" s="513"/>
      <c r="JZP13" s="513"/>
      <c r="JZQ13" s="513"/>
      <c r="JZR13" s="513"/>
      <c r="JZS13" s="513"/>
      <c r="JZT13" s="513"/>
      <c r="JZU13" s="513"/>
      <c r="JZV13" s="513"/>
      <c r="JZW13" s="513"/>
      <c r="JZX13" s="513"/>
      <c r="JZY13" s="513"/>
      <c r="JZZ13" s="513"/>
      <c r="KAA13" s="513"/>
      <c r="KAB13" s="513"/>
      <c r="KAC13" s="513"/>
      <c r="KAD13" s="513"/>
      <c r="KAE13" s="513"/>
      <c r="KAF13" s="513"/>
      <c r="KAG13" s="513"/>
      <c r="KAH13" s="513"/>
      <c r="KAI13" s="513"/>
      <c r="KAJ13" s="513"/>
      <c r="KAK13" s="513"/>
      <c r="KAL13" s="513"/>
      <c r="KAM13" s="513"/>
      <c r="KAN13" s="513"/>
      <c r="KAO13" s="513"/>
      <c r="KAP13" s="513"/>
      <c r="KAQ13" s="513"/>
      <c r="KAR13" s="513"/>
      <c r="KAS13" s="513"/>
      <c r="KAT13" s="513"/>
      <c r="KAU13" s="513"/>
      <c r="KAV13" s="513"/>
      <c r="KAW13" s="513"/>
      <c r="KAX13" s="513"/>
      <c r="KAY13" s="513"/>
      <c r="KAZ13" s="513"/>
      <c r="KBA13" s="513"/>
      <c r="KBB13" s="513"/>
      <c r="KBC13" s="513"/>
      <c r="KBD13" s="513"/>
      <c r="KBE13" s="513"/>
      <c r="KBF13" s="513"/>
      <c r="KBG13" s="513"/>
      <c r="KBH13" s="513"/>
      <c r="KBI13" s="513"/>
      <c r="KBJ13" s="513"/>
      <c r="KBK13" s="513"/>
      <c r="KBL13" s="513"/>
      <c r="KBM13" s="513"/>
      <c r="KBN13" s="513"/>
      <c r="KBO13" s="513"/>
      <c r="KBP13" s="513"/>
      <c r="KBQ13" s="513"/>
      <c r="KBR13" s="513"/>
      <c r="KBS13" s="513"/>
      <c r="KBT13" s="513"/>
      <c r="KBU13" s="513"/>
      <c r="KBV13" s="513"/>
      <c r="KBW13" s="513"/>
      <c r="KBX13" s="513"/>
      <c r="KBY13" s="513"/>
      <c r="KBZ13" s="513"/>
      <c r="KCA13" s="513"/>
      <c r="KCB13" s="513"/>
      <c r="KCC13" s="513"/>
      <c r="KCD13" s="513"/>
      <c r="KCE13" s="513"/>
      <c r="KCF13" s="513"/>
      <c r="KCG13" s="513"/>
      <c r="KCH13" s="513"/>
      <c r="KCI13" s="513"/>
      <c r="KCJ13" s="513"/>
      <c r="KCK13" s="513"/>
      <c r="KCL13" s="513"/>
      <c r="KCM13" s="513"/>
      <c r="KCN13" s="513"/>
      <c r="KCO13" s="513"/>
      <c r="KCP13" s="513"/>
      <c r="KCQ13" s="513"/>
      <c r="KCR13" s="513"/>
      <c r="KCS13" s="513"/>
      <c r="KCT13" s="513"/>
      <c r="KCU13" s="513"/>
      <c r="KCV13" s="513"/>
      <c r="KCW13" s="513"/>
      <c r="KCX13" s="513"/>
      <c r="KCY13" s="513"/>
      <c r="KCZ13" s="513"/>
      <c r="KDA13" s="513"/>
      <c r="KDB13" s="513"/>
      <c r="KDC13" s="513"/>
      <c r="KDD13" s="513"/>
      <c r="KDE13" s="513"/>
      <c r="KDF13" s="513"/>
      <c r="KDG13" s="513"/>
      <c r="KDH13" s="513"/>
      <c r="KDI13" s="513"/>
      <c r="KDJ13" s="513"/>
      <c r="KDK13" s="513"/>
      <c r="KDL13" s="513"/>
      <c r="KDM13" s="513"/>
      <c r="KDN13" s="513"/>
      <c r="KDO13" s="513"/>
      <c r="KDP13" s="513"/>
      <c r="KDQ13" s="513"/>
      <c r="KDR13" s="513"/>
      <c r="KDS13" s="513"/>
      <c r="KDT13" s="513"/>
      <c r="KDU13" s="513"/>
      <c r="KDV13" s="513"/>
      <c r="KDW13" s="513"/>
      <c r="KDX13" s="513"/>
      <c r="KDY13" s="513"/>
      <c r="KDZ13" s="513"/>
      <c r="KEA13" s="513"/>
      <c r="KEB13" s="513"/>
      <c r="KEC13" s="513"/>
      <c r="KED13" s="513"/>
      <c r="KEE13" s="513"/>
      <c r="KEF13" s="513"/>
      <c r="KEG13" s="513"/>
      <c r="KEH13" s="513"/>
      <c r="KEI13" s="513"/>
      <c r="KEJ13" s="513"/>
      <c r="KEK13" s="513"/>
      <c r="KEL13" s="513"/>
      <c r="KEM13" s="513"/>
      <c r="KEN13" s="513"/>
      <c r="KEO13" s="513"/>
      <c r="KEP13" s="513"/>
      <c r="KEQ13" s="513"/>
      <c r="KER13" s="513"/>
      <c r="KES13" s="513"/>
      <c r="KET13" s="513"/>
      <c r="KEU13" s="513"/>
      <c r="KEV13" s="513"/>
      <c r="KEW13" s="513"/>
      <c r="KEX13" s="513"/>
      <c r="KEY13" s="513"/>
      <c r="KEZ13" s="513"/>
      <c r="KFA13" s="513"/>
      <c r="KFB13" s="513"/>
      <c r="KFC13" s="513"/>
      <c r="KFD13" s="513"/>
      <c r="KFE13" s="513"/>
      <c r="KFF13" s="513"/>
      <c r="KFG13" s="513"/>
      <c r="KFH13" s="513"/>
      <c r="KFI13" s="513"/>
      <c r="KFJ13" s="513"/>
      <c r="KFK13" s="513"/>
      <c r="KFL13" s="513"/>
      <c r="KFM13" s="513"/>
      <c r="KFN13" s="513"/>
      <c r="KFO13" s="513"/>
      <c r="KFP13" s="513"/>
      <c r="KFQ13" s="513"/>
      <c r="KFR13" s="513"/>
      <c r="KFS13" s="513"/>
      <c r="KFT13" s="513"/>
      <c r="KFU13" s="513"/>
      <c r="KFV13" s="513"/>
      <c r="KFW13" s="513"/>
      <c r="KFX13" s="513"/>
      <c r="KFY13" s="513"/>
      <c r="KFZ13" s="513"/>
      <c r="KGA13" s="513"/>
      <c r="KGB13" s="513"/>
      <c r="KGC13" s="513"/>
      <c r="KGD13" s="513"/>
      <c r="KGE13" s="513"/>
      <c r="KGF13" s="513"/>
      <c r="KGG13" s="513"/>
      <c r="KGH13" s="513"/>
      <c r="KGI13" s="513"/>
      <c r="KGJ13" s="513"/>
      <c r="KGK13" s="513"/>
      <c r="KGL13" s="513"/>
      <c r="KGM13" s="513"/>
      <c r="KGN13" s="513"/>
      <c r="KGO13" s="513"/>
      <c r="KGP13" s="513"/>
      <c r="KGQ13" s="513"/>
      <c r="KGR13" s="513"/>
      <c r="KGS13" s="513"/>
      <c r="KGT13" s="513"/>
      <c r="KGU13" s="513"/>
      <c r="KGV13" s="513"/>
      <c r="KGW13" s="513"/>
      <c r="KGX13" s="513"/>
      <c r="KGY13" s="513"/>
      <c r="KGZ13" s="513"/>
      <c r="KHA13" s="513"/>
      <c r="KHB13" s="513"/>
      <c r="KHC13" s="513"/>
      <c r="KHD13" s="513"/>
      <c r="KHE13" s="513"/>
      <c r="KHF13" s="513"/>
      <c r="KHG13" s="513"/>
      <c r="KHH13" s="513"/>
      <c r="KHI13" s="513"/>
      <c r="KHJ13" s="513"/>
      <c r="KHK13" s="513"/>
      <c r="KHL13" s="513"/>
      <c r="KHM13" s="513"/>
      <c r="KHN13" s="513"/>
      <c r="KHO13" s="513"/>
      <c r="KHP13" s="513"/>
      <c r="KHQ13" s="513"/>
      <c r="KHR13" s="513"/>
      <c r="KHS13" s="513"/>
      <c r="KHT13" s="513"/>
      <c r="KHU13" s="513"/>
      <c r="KHV13" s="513"/>
      <c r="KHW13" s="513"/>
      <c r="KHX13" s="513"/>
      <c r="KHY13" s="513"/>
      <c r="KHZ13" s="513"/>
      <c r="KIA13" s="513"/>
      <c r="KIB13" s="513"/>
      <c r="KIC13" s="513"/>
      <c r="KID13" s="513"/>
      <c r="KIE13" s="513"/>
      <c r="KIF13" s="513"/>
      <c r="KIG13" s="513"/>
      <c r="KIH13" s="513"/>
      <c r="KII13" s="513"/>
      <c r="KIJ13" s="513"/>
      <c r="KIK13" s="513"/>
      <c r="KIL13" s="513"/>
      <c r="KIM13" s="513"/>
      <c r="KIN13" s="513"/>
      <c r="KIO13" s="513"/>
      <c r="KIP13" s="513"/>
      <c r="KIQ13" s="513"/>
      <c r="KIR13" s="513"/>
      <c r="KIS13" s="513"/>
      <c r="KIT13" s="513"/>
      <c r="KIU13" s="513"/>
      <c r="KIV13" s="513"/>
      <c r="KIW13" s="513"/>
      <c r="KIX13" s="513"/>
      <c r="KIY13" s="513"/>
      <c r="KIZ13" s="513"/>
      <c r="KJA13" s="513"/>
      <c r="KJB13" s="513"/>
      <c r="KJC13" s="513"/>
      <c r="KJD13" s="513"/>
      <c r="KJE13" s="513"/>
      <c r="KJF13" s="513"/>
      <c r="KJG13" s="513"/>
      <c r="KJH13" s="513"/>
      <c r="KJI13" s="513"/>
      <c r="KJJ13" s="513"/>
      <c r="KJK13" s="513"/>
      <c r="KJL13" s="513"/>
      <c r="KJM13" s="513"/>
      <c r="KJN13" s="513"/>
      <c r="KJO13" s="513"/>
      <c r="KJP13" s="513"/>
      <c r="KJQ13" s="513"/>
      <c r="KJR13" s="513"/>
      <c r="KJS13" s="513"/>
      <c r="KJT13" s="513"/>
      <c r="KJU13" s="513"/>
      <c r="KJV13" s="513"/>
      <c r="KJW13" s="513"/>
      <c r="KJX13" s="513"/>
      <c r="KJY13" s="513"/>
      <c r="KJZ13" s="513"/>
      <c r="KKA13" s="513"/>
      <c r="KKB13" s="513"/>
      <c r="KKC13" s="513"/>
      <c r="KKD13" s="513"/>
      <c r="KKE13" s="513"/>
      <c r="KKF13" s="513"/>
      <c r="KKG13" s="513"/>
      <c r="KKH13" s="513"/>
      <c r="KKI13" s="513"/>
      <c r="KKJ13" s="513"/>
      <c r="KKK13" s="513"/>
      <c r="KKL13" s="513"/>
      <c r="KKM13" s="513"/>
      <c r="KKN13" s="513"/>
      <c r="KKO13" s="513"/>
      <c r="KKP13" s="513"/>
      <c r="KKQ13" s="513"/>
      <c r="KKR13" s="513"/>
      <c r="KKS13" s="513"/>
      <c r="KKT13" s="513"/>
      <c r="KKU13" s="513"/>
      <c r="KKV13" s="513"/>
      <c r="KKW13" s="513"/>
      <c r="KKX13" s="513"/>
      <c r="KKY13" s="513"/>
      <c r="KKZ13" s="513"/>
      <c r="KLA13" s="513"/>
      <c r="KLB13" s="513"/>
      <c r="KLC13" s="513"/>
      <c r="KLD13" s="513"/>
      <c r="KLE13" s="513"/>
      <c r="KLF13" s="513"/>
      <c r="KLG13" s="513"/>
      <c r="KLH13" s="513"/>
      <c r="KLI13" s="513"/>
      <c r="KLJ13" s="513"/>
      <c r="KLK13" s="513"/>
      <c r="KLL13" s="513"/>
      <c r="KLM13" s="513"/>
      <c r="KLN13" s="513"/>
      <c r="KLO13" s="513"/>
      <c r="KLP13" s="513"/>
      <c r="KLQ13" s="513"/>
      <c r="KLR13" s="513"/>
      <c r="KLS13" s="513"/>
      <c r="KLT13" s="513"/>
      <c r="KLU13" s="513"/>
      <c r="KLV13" s="513"/>
      <c r="KLW13" s="513"/>
      <c r="KLX13" s="513"/>
      <c r="KLY13" s="513"/>
      <c r="KLZ13" s="513"/>
      <c r="KMA13" s="513"/>
      <c r="KMB13" s="513"/>
      <c r="KMC13" s="513"/>
      <c r="KMD13" s="513"/>
      <c r="KME13" s="513"/>
      <c r="KMF13" s="513"/>
      <c r="KMG13" s="513"/>
      <c r="KMH13" s="513"/>
      <c r="KMI13" s="513"/>
      <c r="KMJ13" s="513"/>
      <c r="KMK13" s="513"/>
      <c r="KML13" s="513"/>
      <c r="KMM13" s="513"/>
      <c r="KMN13" s="513"/>
      <c r="KMO13" s="513"/>
      <c r="KMP13" s="513"/>
      <c r="KMQ13" s="513"/>
      <c r="KMR13" s="513"/>
      <c r="KMS13" s="513"/>
      <c r="KMT13" s="513"/>
      <c r="KMU13" s="513"/>
      <c r="KMV13" s="513"/>
      <c r="KMW13" s="513"/>
      <c r="KMX13" s="513"/>
      <c r="KMY13" s="513"/>
      <c r="KMZ13" s="513"/>
      <c r="KNA13" s="513"/>
      <c r="KNB13" s="513"/>
      <c r="KNC13" s="513"/>
      <c r="KND13" s="513"/>
      <c r="KNE13" s="513"/>
      <c r="KNF13" s="513"/>
      <c r="KNG13" s="513"/>
      <c r="KNH13" s="513"/>
      <c r="KNI13" s="513"/>
      <c r="KNJ13" s="513"/>
      <c r="KNK13" s="513"/>
      <c r="KNL13" s="513"/>
      <c r="KNM13" s="513"/>
      <c r="KNN13" s="513"/>
      <c r="KNO13" s="513"/>
      <c r="KNP13" s="513"/>
      <c r="KNQ13" s="513"/>
      <c r="KNR13" s="513"/>
      <c r="KNS13" s="513"/>
      <c r="KNT13" s="513"/>
      <c r="KNU13" s="513"/>
      <c r="KNV13" s="513"/>
      <c r="KNW13" s="513"/>
      <c r="KNX13" s="513"/>
      <c r="KNY13" s="513"/>
      <c r="KNZ13" s="513"/>
      <c r="KOA13" s="513"/>
      <c r="KOB13" s="513"/>
      <c r="KOC13" s="513"/>
      <c r="KOD13" s="513"/>
      <c r="KOE13" s="513"/>
      <c r="KOF13" s="513"/>
      <c r="KOG13" s="513"/>
      <c r="KOH13" s="513"/>
      <c r="KOI13" s="513"/>
      <c r="KOJ13" s="513"/>
      <c r="KOK13" s="513"/>
      <c r="KOL13" s="513"/>
      <c r="KOM13" s="513"/>
      <c r="KON13" s="513"/>
      <c r="KOO13" s="513"/>
      <c r="KOP13" s="513"/>
      <c r="KOQ13" s="513"/>
      <c r="KOR13" s="513"/>
      <c r="KOS13" s="513"/>
      <c r="KOT13" s="513"/>
      <c r="KOU13" s="513"/>
      <c r="KOV13" s="513"/>
      <c r="KOW13" s="513"/>
      <c r="KOX13" s="513"/>
      <c r="KOY13" s="513"/>
      <c r="KOZ13" s="513"/>
      <c r="KPA13" s="513"/>
      <c r="KPB13" s="513"/>
      <c r="KPC13" s="513"/>
      <c r="KPD13" s="513"/>
      <c r="KPE13" s="513"/>
      <c r="KPF13" s="513"/>
      <c r="KPG13" s="513"/>
      <c r="KPH13" s="513"/>
      <c r="KPI13" s="513"/>
      <c r="KPJ13" s="513"/>
      <c r="KPK13" s="513"/>
      <c r="KPL13" s="513"/>
      <c r="KPM13" s="513"/>
      <c r="KPN13" s="513"/>
      <c r="KPO13" s="513"/>
      <c r="KPP13" s="513"/>
      <c r="KPQ13" s="513"/>
      <c r="KPR13" s="513"/>
      <c r="KPS13" s="513"/>
      <c r="KPT13" s="513"/>
      <c r="KPU13" s="513"/>
      <c r="KPV13" s="513"/>
      <c r="KPW13" s="513"/>
      <c r="KPX13" s="513"/>
      <c r="KPY13" s="513"/>
      <c r="KPZ13" s="513"/>
      <c r="KQA13" s="513"/>
      <c r="KQB13" s="513"/>
      <c r="KQC13" s="513"/>
      <c r="KQD13" s="513"/>
      <c r="KQE13" s="513"/>
      <c r="KQF13" s="513"/>
      <c r="KQG13" s="513"/>
      <c r="KQH13" s="513"/>
      <c r="KQI13" s="513"/>
      <c r="KQJ13" s="513"/>
      <c r="KQK13" s="513"/>
      <c r="KQL13" s="513"/>
      <c r="KQM13" s="513"/>
      <c r="KQN13" s="513"/>
      <c r="KQO13" s="513"/>
      <c r="KQP13" s="513"/>
      <c r="KQQ13" s="513"/>
      <c r="KQR13" s="513"/>
      <c r="KQS13" s="513"/>
      <c r="KQT13" s="513"/>
      <c r="KQU13" s="513"/>
      <c r="KQV13" s="513"/>
      <c r="KQW13" s="513"/>
      <c r="KQX13" s="513"/>
      <c r="KQY13" s="513"/>
      <c r="KQZ13" s="513"/>
      <c r="KRA13" s="513"/>
      <c r="KRB13" s="513"/>
      <c r="KRC13" s="513"/>
      <c r="KRD13" s="513"/>
      <c r="KRE13" s="513"/>
      <c r="KRF13" s="513"/>
      <c r="KRG13" s="513"/>
      <c r="KRH13" s="513"/>
      <c r="KRI13" s="513"/>
      <c r="KRJ13" s="513"/>
      <c r="KRK13" s="513"/>
      <c r="KRL13" s="513"/>
      <c r="KRM13" s="513"/>
      <c r="KRN13" s="513"/>
      <c r="KRO13" s="513"/>
      <c r="KRP13" s="513"/>
      <c r="KRQ13" s="513"/>
      <c r="KRR13" s="513"/>
      <c r="KRS13" s="513"/>
      <c r="KRT13" s="513"/>
      <c r="KRU13" s="513"/>
      <c r="KRV13" s="513"/>
      <c r="KRW13" s="513"/>
      <c r="KRX13" s="513"/>
      <c r="KRY13" s="513"/>
      <c r="KRZ13" s="513"/>
      <c r="KSA13" s="513"/>
      <c r="KSB13" s="513"/>
      <c r="KSC13" s="513"/>
      <c r="KSD13" s="513"/>
      <c r="KSE13" s="513"/>
      <c r="KSF13" s="513"/>
      <c r="KSG13" s="513"/>
      <c r="KSH13" s="513"/>
      <c r="KSI13" s="513"/>
      <c r="KSJ13" s="513"/>
      <c r="KSK13" s="513"/>
      <c r="KSL13" s="513"/>
      <c r="KSM13" s="513"/>
      <c r="KSN13" s="513"/>
      <c r="KSO13" s="513"/>
      <c r="KSP13" s="513"/>
      <c r="KSQ13" s="513"/>
      <c r="KSR13" s="513"/>
      <c r="KSS13" s="513"/>
      <c r="KST13" s="513"/>
      <c r="KSU13" s="513"/>
      <c r="KSV13" s="513"/>
      <c r="KSW13" s="513"/>
      <c r="KSX13" s="513"/>
      <c r="KSY13" s="513"/>
      <c r="KSZ13" s="513"/>
      <c r="KTA13" s="513"/>
      <c r="KTB13" s="513"/>
      <c r="KTC13" s="513"/>
      <c r="KTD13" s="513"/>
      <c r="KTE13" s="513"/>
      <c r="KTF13" s="513"/>
      <c r="KTG13" s="513"/>
      <c r="KTH13" s="513"/>
      <c r="KTI13" s="513"/>
      <c r="KTJ13" s="513"/>
      <c r="KTK13" s="513"/>
      <c r="KTL13" s="513"/>
      <c r="KTM13" s="513"/>
      <c r="KTN13" s="513"/>
      <c r="KTO13" s="513"/>
      <c r="KTP13" s="513"/>
      <c r="KTQ13" s="513"/>
      <c r="KTR13" s="513"/>
      <c r="KTS13" s="513"/>
      <c r="KTT13" s="513"/>
      <c r="KTU13" s="513"/>
      <c r="KTV13" s="513"/>
      <c r="KTW13" s="513"/>
      <c r="KTX13" s="513"/>
      <c r="KTY13" s="513"/>
      <c r="KTZ13" s="513"/>
      <c r="KUA13" s="513"/>
      <c r="KUB13" s="513"/>
      <c r="KUC13" s="513"/>
      <c r="KUD13" s="513"/>
      <c r="KUE13" s="513"/>
      <c r="KUF13" s="513"/>
      <c r="KUG13" s="513"/>
      <c r="KUH13" s="513"/>
      <c r="KUI13" s="513"/>
      <c r="KUJ13" s="513"/>
      <c r="KUK13" s="513"/>
      <c r="KUL13" s="513"/>
      <c r="KUM13" s="513"/>
      <c r="KUN13" s="513"/>
      <c r="KUO13" s="513"/>
      <c r="KUP13" s="513"/>
      <c r="KUQ13" s="513"/>
      <c r="KUR13" s="513"/>
      <c r="KUS13" s="513"/>
      <c r="KUT13" s="513"/>
      <c r="KUU13" s="513"/>
      <c r="KUV13" s="513"/>
      <c r="KUW13" s="513"/>
      <c r="KUX13" s="513"/>
      <c r="KUY13" s="513"/>
      <c r="KUZ13" s="513"/>
      <c r="KVA13" s="513"/>
      <c r="KVB13" s="513"/>
      <c r="KVC13" s="513"/>
      <c r="KVD13" s="513"/>
      <c r="KVE13" s="513"/>
      <c r="KVF13" s="513"/>
      <c r="KVG13" s="513"/>
      <c r="KVH13" s="513"/>
      <c r="KVI13" s="513"/>
      <c r="KVJ13" s="513"/>
      <c r="KVK13" s="513"/>
      <c r="KVL13" s="513"/>
      <c r="KVM13" s="513"/>
      <c r="KVN13" s="513"/>
      <c r="KVO13" s="513"/>
      <c r="KVP13" s="513"/>
      <c r="KVQ13" s="513"/>
      <c r="KVR13" s="513"/>
      <c r="KVS13" s="513"/>
      <c r="KVT13" s="513"/>
      <c r="KVU13" s="513"/>
      <c r="KVV13" s="513"/>
      <c r="KVW13" s="513"/>
      <c r="KVX13" s="513"/>
      <c r="KVY13" s="513"/>
      <c r="KVZ13" s="513"/>
      <c r="KWA13" s="513"/>
      <c r="KWB13" s="513"/>
      <c r="KWC13" s="513"/>
      <c r="KWD13" s="513"/>
      <c r="KWE13" s="513"/>
      <c r="KWF13" s="513"/>
      <c r="KWG13" s="513"/>
      <c r="KWH13" s="513"/>
      <c r="KWI13" s="513"/>
      <c r="KWJ13" s="513"/>
      <c r="KWK13" s="513"/>
      <c r="KWL13" s="513"/>
      <c r="KWM13" s="513"/>
      <c r="KWN13" s="513"/>
      <c r="KWO13" s="513"/>
      <c r="KWP13" s="513"/>
      <c r="KWQ13" s="513"/>
      <c r="KWR13" s="513"/>
      <c r="KWS13" s="513"/>
      <c r="KWT13" s="513"/>
      <c r="KWU13" s="513"/>
      <c r="KWV13" s="513"/>
      <c r="KWW13" s="513"/>
      <c r="KWX13" s="513"/>
      <c r="KWY13" s="513"/>
      <c r="KWZ13" s="513"/>
      <c r="KXA13" s="513"/>
      <c r="KXB13" s="513"/>
      <c r="KXC13" s="513"/>
      <c r="KXD13" s="513"/>
      <c r="KXE13" s="513"/>
      <c r="KXF13" s="513"/>
      <c r="KXG13" s="513"/>
      <c r="KXH13" s="513"/>
      <c r="KXI13" s="513"/>
      <c r="KXJ13" s="513"/>
      <c r="KXK13" s="513"/>
      <c r="KXL13" s="513"/>
      <c r="KXM13" s="513"/>
      <c r="KXN13" s="513"/>
      <c r="KXO13" s="513"/>
      <c r="KXP13" s="513"/>
      <c r="KXQ13" s="513"/>
      <c r="KXR13" s="513"/>
      <c r="KXS13" s="513"/>
      <c r="KXT13" s="513"/>
      <c r="KXU13" s="513"/>
      <c r="KXV13" s="513"/>
      <c r="KXW13" s="513"/>
      <c r="KXX13" s="513"/>
      <c r="KXY13" s="513"/>
      <c r="KXZ13" s="513"/>
      <c r="KYA13" s="513"/>
      <c r="KYB13" s="513"/>
      <c r="KYC13" s="513"/>
      <c r="KYD13" s="513"/>
      <c r="KYE13" s="513"/>
      <c r="KYF13" s="513"/>
      <c r="KYG13" s="513"/>
      <c r="KYH13" s="513"/>
      <c r="KYI13" s="513"/>
      <c r="KYJ13" s="513"/>
      <c r="KYK13" s="513"/>
      <c r="KYL13" s="513"/>
      <c r="KYM13" s="513"/>
      <c r="KYN13" s="513"/>
      <c r="KYO13" s="513"/>
      <c r="KYP13" s="513"/>
      <c r="KYQ13" s="513"/>
      <c r="KYR13" s="513"/>
      <c r="KYS13" s="513"/>
      <c r="KYT13" s="513"/>
      <c r="KYU13" s="513"/>
      <c r="KYV13" s="513"/>
      <c r="KYW13" s="513"/>
      <c r="KYX13" s="513"/>
      <c r="KYY13" s="513"/>
      <c r="KYZ13" s="513"/>
      <c r="KZA13" s="513"/>
      <c r="KZB13" s="513"/>
      <c r="KZC13" s="513"/>
      <c r="KZD13" s="513"/>
      <c r="KZE13" s="513"/>
      <c r="KZF13" s="513"/>
      <c r="KZG13" s="513"/>
      <c r="KZH13" s="513"/>
      <c r="KZI13" s="513"/>
      <c r="KZJ13" s="513"/>
      <c r="KZK13" s="513"/>
      <c r="KZL13" s="513"/>
      <c r="KZM13" s="513"/>
      <c r="KZN13" s="513"/>
      <c r="KZO13" s="513"/>
      <c r="KZP13" s="513"/>
      <c r="KZQ13" s="513"/>
      <c r="KZR13" s="513"/>
      <c r="KZS13" s="513"/>
      <c r="KZT13" s="513"/>
      <c r="KZU13" s="513"/>
      <c r="KZV13" s="513"/>
      <c r="KZW13" s="513"/>
      <c r="KZX13" s="513"/>
      <c r="KZY13" s="513"/>
      <c r="KZZ13" s="513"/>
      <c r="LAA13" s="513"/>
      <c r="LAB13" s="513"/>
      <c r="LAC13" s="513"/>
      <c r="LAD13" s="513"/>
      <c r="LAE13" s="513"/>
      <c r="LAF13" s="513"/>
      <c r="LAG13" s="513"/>
      <c r="LAH13" s="513"/>
      <c r="LAI13" s="513"/>
      <c r="LAJ13" s="513"/>
      <c r="LAK13" s="513"/>
      <c r="LAL13" s="513"/>
      <c r="LAM13" s="513"/>
      <c r="LAN13" s="513"/>
      <c r="LAO13" s="513"/>
      <c r="LAP13" s="513"/>
      <c r="LAQ13" s="513"/>
      <c r="LAR13" s="513"/>
      <c r="LAS13" s="513"/>
      <c r="LAT13" s="513"/>
      <c r="LAU13" s="513"/>
      <c r="LAV13" s="513"/>
      <c r="LAW13" s="513"/>
      <c r="LAX13" s="513"/>
      <c r="LAY13" s="513"/>
      <c r="LAZ13" s="513"/>
      <c r="LBA13" s="513"/>
      <c r="LBB13" s="513"/>
      <c r="LBC13" s="513"/>
      <c r="LBD13" s="513"/>
      <c r="LBE13" s="513"/>
      <c r="LBF13" s="513"/>
      <c r="LBG13" s="513"/>
      <c r="LBH13" s="513"/>
      <c r="LBI13" s="513"/>
      <c r="LBJ13" s="513"/>
      <c r="LBK13" s="513"/>
      <c r="LBL13" s="513"/>
      <c r="LBM13" s="513"/>
      <c r="LBN13" s="513"/>
      <c r="LBO13" s="513"/>
      <c r="LBP13" s="513"/>
      <c r="LBQ13" s="513"/>
      <c r="LBR13" s="513"/>
      <c r="LBS13" s="513"/>
      <c r="LBT13" s="513"/>
      <c r="LBU13" s="513"/>
      <c r="LBV13" s="513"/>
      <c r="LBW13" s="513"/>
      <c r="LBX13" s="513"/>
      <c r="LBY13" s="513"/>
      <c r="LBZ13" s="513"/>
      <c r="LCA13" s="513"/>
      <c r="LCB13" s="513"/>
      <c r="LCC13" s="513"/>
      <c r="LCD13" s="513"/>
      <c r="LCE13" s="513"/>
      <c r="LCF13" s="513"/>
      <c r="LCG13" s="513"/>
      <c r="LCH13" s="513"/>
      <c r="LCI13" s="513"/>
      <c r="LCJ13" s="513"/>
      <c r="LCK13" s="513"/>
      <c r="LCL13" s="513"/>
      <c r="LCM13" s="513"/>
      <c r="LCN13" s="513"/>
      <c r="LCO13" s="513"/>
      <c r="LCP13" s="513"/>
      <c r="LCQ13" s="513"/>
      <c r="LCR13" s="513"/>
      <c r="LCS13" s="513"/>
      <c r="LCT13" s="513"/>
      <c r="LCU13" s="513"/>
      <c r="LCV13" s="513"/>
      <c r="LCW13" s="513"/>
      <c r="LCX13" s="513"/>
      <c r="LCY13" s="513"/>
      <c r="LCZ13" s="513"/>
      <c r="LDA13" s="513"/>
      <c r="LDB13" s="513"/>
      <c r="LDC13" s="513"/>
      <c r="LDD13" s="513"/>
      <c r="LDE13" s="513"/>
      <c r="LDF13" s="513"/>
      <c r="LDG13" s="513"/>
      <c r="LDH13" s="513"/>
      <c r="LDI13" s="513"/>
      <c r="LDJ13" s="513"/>
      <c r="LDK13" s="513"/>
      <c r="LDL13" s="513"/>
      <c r="LDM13" s="513"/>
      <c r="LDN13" s="513"/>
      <c r="LDO13" s="513"/>
      <c r="LDP13" s="513"/>
      <c r="LDQ13" s="513"/>
      <c r="LDR13" s="513"/>
      <c r="LDS13" s="513"/>
      <c r="LDT13" s="513"/>
      <c r="LDU13" s="513"/>
      <c r="LDV13" s="513"/>
      <c r="LDW13" s="513"/>
      <c r="LDX13" s="513"/>
      <c r="LDY13" s="513"/>
      <c r="LDZ13" s="513"/>
      <c r="LEA13" s="513"/>
      <c r="LEB13" s="513"/>
      <c r="LEC13" s="513"/>
      <c r="LED13" s="513"/>
      <c r="LEE13" s="513"/>
      <c r="LEF13" s="513"/>
      <c r="LEG13" s="513"/>
      <c r="LEH13" s="513"/>
      <c r="LEI13" s="513"/>
      <c r="LEJ13" s="513"/>
      <c r="LEK13" s="513"/>
      <c r="LEL13" s="513"/>
      <c r="LEM13" s="513"/>
      <c r="LEN13" s="513"/>
      <c r="LEO13" s="513"/>
      <c r="LEP13" s="513"/>
      <c r="LEQ13" s="513"/>
      <c r="LER13" s="513"/>
      <c r="LES13" s="513"/>
      <c r="LET13" s="513"/>
      <c r="LEU13" s="513"/>
      <c r="LEV13" s="513"/>
      <c r="LEW13" s="513"/>
      <c r="LEX13" s="513"/>
      <c r="LEY13" s="513"/>
      <c r="LEZ13" s="513"/>
      <c r="LFA13" s="513"/>
      <c r="LFB13" s="513"/>
      <c r="LFC13" s="513"/>
      <c r="LFD13" s="513"/>
      <c r="LFE13" s="513"/>
      <c r="LFF13" s="513"/>
      <c r="LFG13" s="513"/>
      <c r="LFH13" s="513"/>
      <c r="LFI13" s="513"/>
      <c r="LFJ13" s="513"/>
      <c r="LFK13" s="513"/>
      <c r="LFL13" s="513"/>
      <c r="LFM13" s="513"/>
      <c r="LFN13" s="513"/>
      <c r="LFO13" s="513"/>
      <c r="LFP13" s="513"/>
      <c r="LFQ13" s="513"/>
      <c r="LFR13" s="513"/>
      <c r="LFS13" s="513"/>
      <c r="LFT13" s="513"/>
      <c r="LFU13" s="513"/>
      <c r="LFV13" s="513"/>
      <c r="LFW13" s="513"/>
      <c r="LFX13" s="513"/>
      <c r="LFY13" s="513"/>
      <c r="LFZ13" s="513"/>
      <c r="LGA13" s="513"/>
      <c r="LGB13" s="513"/>
      <c r="LGC13" s="513"/>
      <c r="LGD13" s="513"/>
      <c r="LGE13" s="513"/>
      <c r="LGF13" s="513"/>
      <c r="LGG13" s="513"/>
      <c r="LGH13" s="513"/>
      <c r="LGI13" s="513"/>
      <c r="LGJ13" s="513"/>
      <c r="LGK13" s="513"/>
      <c r="LGL13" s="513"/>
      <c r="LGM13" s="513"/>
      <c r="LGN13" s="513"/>
      <c r="LGO13" s="513"/>
      <c r="LGP13" s="513"/>
      <c r="LGQ13" s="513"/>
      <c r="LGR13" s="513"/>
      <c r="LGS13" s="513"/>
      <c r="LGT13" s="513"/>
      <c r="LGU13" s="513"/>
      <c r="LGV13" s="513"/>
      <c r="LGW13" s="513"/>
      <c r="LGX13" s="513"/>
      <c r="LGY13" s="513"/>
      <c r="LGZ13" s="513"/>
      <c r="LHA13" s="513"/>
      <c r="LHB13" s="513"/>
      <c r="LHC13" s="513"/>
      <c r="LHD13" s="513"/>
      <c r="LHE13" s="513"/>
      <c r="LHF13" s="513"/>
      <c r="LHG13" s="513"/>
      <c r="LHH13" s="513"/>
      <c r="LHI13" s="513"/>
      <c r="LHJ13" s="513"/>
      <c r="LHK13" s="513"/>
      <c r="LHL13" s="513"/>
      <c r="LHM13" s="513"/>
      <c r="LHN13" s="513"/>
      <c r="LHO13" s="513"/>
      <c r="LHP13" s="513"/>
      <c r="LHQ13" s="513"/>
      <c r="LHR13" s="513"/>
      <c r="LHS13" s="513"/>
      <c r="LHT13" s="513"/>
      <c r="LHU13" s="513"/>
      <c r="LHV13" s="513"/>
      <c r="LHW13" s="513"/>
      <c r="LHX13" s="513"/>
      <c r="LHY13" s="513"/>
      <c r="LHZ13" s="513"/>
      <c r="LIA13" s="513"/>
      <c r="LIB13" s="513"/>
      <c r="LIC13" s="513"/>
      <c r="LID13" s="513"/>
      <c r="LIE13" s="513"/>
      <c r="LIF13" s="513"/>
      <c r="LIG13" s="513"/>
      <c r="LIH13" s="513"/>
      <c r="LII13" s="513"/>
      <c r="LIJ13" s="513"/>
      <c r="LIK13" s="513"/>
      <c r="LIL13" s="513"/>
      <c r="LIM13" s="513"/>
      <c r="LIN13" s="513"/>
      <c r="LIO13" s="513"/>
      <c r="LIP13" s="513"/>
      <c r="LIQ13" s="513"/>
      <c r="LIR13" s="513"/>
      <c r="LIS13" s="513"/>
      <c r="LIT13" s="513"/>
      <c r="LIU13" s="513"/>
      <c r="LIV13" s="513"/>
      <c r="LIW13" s="513"/>
      <c r="LIX13" s="513"/>
      <c r="LIY13" s="513"/>
      <c r="LIZ13" s="513"/>
      <c r="LJA13" s="513"/>
      <c r="LJB13" s="513"/>
      <c r="LJC13" s="513"/>
      <c r="LJD13" s="513"/>
      <c r="LJE13" s="513"/>
      <c r="LJF13" s="513"/>
      <c r="LJG13" s="513"/>
      <c r="LJH13" s="513"/>
      <c r="LJI13" s="513"/>
      <c r="LJJ13" s="513"/>
      <c r="LJK13" s="513"/>
      <c r="LJL13" s="513"/>
      <c r="LJM13" s="513"/>
      <c r="LJN13" s="513"/>
      <c r="LJO13" s="513"/>
      <c r="LJP13" s="513"/>
      <c r="LJQ13" s="513"/>
      <c r="LJR13" s="513"/>
      <c r="LJS13" s="513"/>
      <c r="LJT13" s="513"/>
      <c r="LJU13" s="513"/>
      <c r="LJV13" s="513"/>
      <c r="LJW13" s="513"/>
      <c r="LJX13" s="513"/>
      <c r="LJY13" s="513"/>
      <c r="LJZ13" s="513"/>
      <c r="LKA13" s="513"/>
      <c r="LKB13" s="513"/>
      <c r="LKC13" s="513"/>
      <c r="LKD13" s="513"/>
      <c r="LKE13" s="513"/>
      <c r="LKF13" s="513"/>
      <c r="LKG13" s="513"/>
      <c r="LKH13" s="513"/>
      <c r="LKI13" s="513"/>
      <c r="LKJ13" s="513"/>
      <c r="LKK13" s="513"/>
      <c r="LKL13" s="513"/>
      <c r="LKM13" s="513"/>
      <c r="LKN13" s="513"/>
      <c r="LKO13" s="513"/>
      <c r="LKP13" s="513"/>
      <c r="LKQ13" s="513"/>
      <c r="LKR13" s="513"/>
      <c r="LKS13" s="513"/>
      <c r="LKT13" s="513"/>
      <c r="LKU13" s="513"/>
      <c r="LKV13" s="513"/>
      <c r="LKW13" s="513"/>
      <c r="LKX13" s="513"/>
      <c r="LKY13" s="513"/>
      <c r="LKZ13" s="513"/>
      <c r="LLA13" s="513"/>
      <c r="LLB13" s="513"/>
      <c r="LLC13" s="513"/>
      <c r="LLD13" s="513"/>
      <c r="LLE13" s="513"/>
      <c r="LLF13" s="513"/>
      <c r="LLG13" s="513"/>
      <c r="LLH13" s="513"/>
      <c r="LLI13" s="513"/>
      <c r="LLJ13" s="513"/>
      <c r="LLK13" s="513"/>
      <c r="LLL13" s="513"/>
      <c r="LLM13" s="513"/>
      <c r="LLN13" s="513"/>
      <c r="LLO13" s="513"/>
      <c r="LLP13" s="513"/>
      <c r="LLQ13" s="513"/>
      <c r="LLR13" s="513"/>
      <c r="LLS13" s="513"/>
      <c r="LLT13" s="513"/>
      <c r="LLU13" s="513"/>
      <c r="LLV13" s="513"/>
      <c r="LLW13" s="513"/>
      <c r="LLX13" s="513"/>
      <c r="LLY13" s="513"/>
      <c r="LLZ13" s="513"/>
      <c r="LMA13" s="513"/>
      <c r="LMB13" s="513"/>
      <c r="LMC13" s="513"/>
      <c r="LMD13" s="513"/>
      <c r="LME13" s="513"/>
      <c r="LMF13" s="513"/>
      <c r="LMG13" s="513"/>
      <c r="LMH13" s="513"/>
      <c r="LMI13" s="513"/>
      <c r="LMJ13" s="513"/>
      <c r="LMK13" s="513"/>
      <c r="LML13" s="513"/>
      <c r="LMM13" s="513"/>
      <c r="LMN13" s="513"/>
      <c r="LMO13" s="513"/>
      <c r="LMP13" s="513"/>
      <c r="LMQ13" s="513"/>
      <c r="LMR13" s="513"/>
      <c r="LMS13" s="513"/>
      <c r="LMT13" s="513"/>
      <c r="LMU13" s="513"/>
      <c r="LMV13" s="513"/>
      <c r="LMW13" s="513"/>
      <c r="LMX13" s="513"/>
      <c r="LMY13" s="513"/>
      <c r="LMZ13" s="513"/>
      <c r="LNA13" s="513"/>
      <c r="LNB13" s="513"/>
      <c r="LNC13" s="513"/>
      <c r="LND13" s="513"/>
      <c r="LNE13" s="513"/>
      <c r="LNF13" s="513"/>
      <c r="LNG13" s="513"/>
      <c r="LNH13" s="513"/>
      <c r="LNI13" s="513"/>
      <c r="LNJ13" s="513"/>
      <c r="LNK13" s="513"/>
      <c r="LNL13" s="513"/>
      <c r="LNM13" s="513"/>
      <c r="LNN13" s="513"/>
      <c r="LNO13" s="513"/>
      <c r="LNP13" s="513"/>
      <c r="LNQ13" s="513"/>
      <c r="LNR13" s="513"/>
      <c r="LNS13" s="513"/>
      <c r="LNT13" s="513"/>
      <c r="LNU13" s="513"/>
      <c r="LNV13" s="513"/>
      <c r="LNW13" s="513"/>
      <c r="LNX13" s="513"/>
      <c r="LNY13" s="513"/>
      <c r="LNZ13" s="513"/>
      <c r="LOA13" s="513"/>
      <c r="LOB13" s="513"/>
      <c r="LOC13" s="513"/>
      <c r="LOD13" s="513"/>
      <c r="LOE13" s="513"/>
      <c r="LOF13" s="513"/>
      <c r="LOG13" s="513"/>
      <c r="LOH13" s="513"/>
      <c r="LOI13" s="513"/>
      <c r="LOJ13" s="513"/>
      <c r="LOK13" s="513"/>
      <c r="LOL13" s="513"/>
      <c r="LOM13" s="513"/>
      <c r="LON13" s="513"/>
      <c r="LOO13" s="513"/>
      <c r="LOP13" s="513"/>
      <c r="LOQ13" s="513"/>
      <c r="LOR13" s="513"/>
      <c r="LOS13" s="513"/>
      <c r="LOT13" s="513"/>
      <c r="LOU13" s="513"/>
      <c r="LOV13" s="513"/>
      <c r="LOW13" s="513"/>
      <c r="LOX13" s="513"/>
      <c r="LOY13" s="513"/>
      <c r="LOZ13" s="513"/>
      <c r="LPA13" s="513"/>
      <c r="LPB13" s="513"/>
      <c r="LPC13" s="513"/>
      <c r="LPD13" s="513"/>
      <c r="LPE13" s="513"/>
      <c r="LPF13" s="513"/>
      <c r="LPG13" s="513"/>
      <c r="LPH13" s="513"/>
      <c r="LPI13" s="513"/>
      <c r="LPJ13" s="513"/>
      <c r="LPK13" s="513"/>
      <c r="LPL13" s="513"/>
      <c r="LPM13" s="513"/>
      <c r="LPN13" s="513"/>
      <c r="LPO13" s="513"/>
      <c r="LPP13" s="513"/>
      <c r="LPQ13" s="513"/>
      <c r="LPR13" s="513"/>
      <c r="LPS13" s="513"/>
      <c r="LPT13" s="513"/>
      <c r="LPU13" s="513"/>
      <c r="LPV13" s="513"/>
      <c r="LPW13" s="513"/>
      <c r="LPX13" s="513"/>
      <c r="LPY13" s="513"/>
      <c r="LPZ13" s="513"/>
      <c r="LQA13" s="513"/>
      <c r="LQB13" s="513"/>
      <c r="LQC13" s="513"/>
      <c r="LQD13" s="513"/>
      <c r="LQE13" s="513"/>
      <c r="LQF13" s="513"/>
      <c r="LQG13" s="513"/>
      <c r="LQH13" s="513"/>
      <c r="LQI13" s="513"/>
      <c r="LQJ13" s="513"/>
      <c r="LQK13" s="513"/>
      <c r="LQL13" s="513"/>
      <c r="LQM13" s="513"/>
      <c r="LQN13" s="513"/>
      <c r="LQO13" s="513"/>
      <c r="LQP13" s="513"/>
      <c r="LQQ13" s="513"/>
      <c r="LQR13" s="513"/>
      <c r="LQS13" s="513"/>
      <c r="LQT13" s="513"/>
      <c r="LQU13" s="513"/>
      <c r="LQV13" s="513"/>
      <c r="LQW13" s="513"/>
      <c r="LQX13" s="513"/>
      <c r="LQY13" s="513"/>
      <c r="LQZ13" s="513"/>
      <c r="LRA13" s="513"/>
      <c r="LRB13" s="513"/>
      <c r="LRC13" s="513"/>
      <c r="LRD13" s="513"/>
      <c r="LRE13" s="513"/>
      <c r="LRF13" s="513"/>
      <c r="LRG13" s="513"/>
      <c r="LRH13" s="513"/>
      <c r="LRI13" s="513"/>
      <c r="LRJ13" s="513"/>
      <c r="LRK13" s="513"/>
      <c r="LRL13" s="513"/>
      <c r="LRM13" s="513"/>
      <c r="LRN13" s="513"/>
      <c r="LRO13" s="513"/>
      <c r="LRP13" s="513"/>
      <c r="LRQ13" s="513"/>
      <c r="LRR13" s="513"/>
      <c r="LRS13" s="513"/>
      <c r="LRT13" s="513"/>
      <c r="LRU13" s="513"/>
      <c r="LRV13" s="513"/>
      <c r="LRW13" s="513"/>
      <c r="LRX13" s="513"/>
      <c r="LRY13" s="513"/>
      <c r="LRZ13" s="513"/>
      <c r="LSA13" s="513"/>
      <c r="LSB13" s="513"/>
      <c r="LSC13" s="513"/>
      <c r="LSD13" s="513"/>
      <c r="LSE13" s="513"/>
      <c r="LSF13" s="513"/>
      <c r="LSG13" s="513"/>
      <c r="LSH13" s="513"/>
      <c r="LSI13" s="513"/>
      <c r="LSJ13" s="513"/>
      <c r="LSK13" s="513"/>
      <c r="LSL13" s="513"/>
      <c r="LSM13" s="513"/>
      <c r="LSN13" s="513"/>
      <c r="LSO13" s="513"/>
      <c r="LSP13" s="513"/>
      <c r="LSQ13" s="513"/>
      <c r="LSR13" s="513"/>
      <c r="LSS13" s="513"/>
      <c r="LST13" s="513"/>
      <c r="LSU13" s="513"/>
      <c r="LSV13" s="513"/>
      <c r="LSW13" s="513"/>
      <c r="LSX13" s="513"/>
      <c r="LSY13" s="513"/>
      <c r="LSZ13" s="513"/>
      <c r="LTA13" s="513"/>
      <c r="LTB13" s="513"/>
      <c r="LTC13" s="513"/>
      <c r="LTD13" s="513"/>
      <c r="LTE13" s="513"/>
      <c r="LTF13" s="513"/>
      <c r="LTG13" s="513"/>
      <c r="LTH13" s="513"/>
      <c r="LTI13" s="513"/>
      <c r="LTJ13" s="513"/>
      <c r="LTK13" s="513"/>
      <c r="LTL13" s="513"/>
      <c r="LTM13" s="513"/>
      <c r="LTN13" s="513"/>
      <c r="LTO13" s="513"/>
      <c r="LTP13" s="513"/>
      <c r="LTQ13" s="513"/>
      <c r="LTR13" s="513"/>
      <c r="LTS13" s="513"/>
      <c r="LTT13" s="513"/>
      <c r="LTU13" s="513"/>
      <c r="LTV13" s="513"/>
      <c r="LTW13" s="513"/>
      <c r="LTX13" s="513"/>
      <c r="LTY13" s="513"/>
      <c r="LTZ13" s="513"/>
      <c r="LUA13" s="513"/>
      <c r="LUB13" s="513"/>
      <c r="LUC13" s="513"/>
      <c r="LUD13" s="513"/>
      <c r="LUE13" s="513"/>
      <c r="LUF13" s="513"/>
      <c r="LUG13" s="513"/>
      <c r="LUH13" s="513"/>
      <c r="LUI13" s="513"/>
      <c r="LUJ13" s="513"/>
      <c r="LUK13" s="513"/>
      <c r="LUL13" s="513"/>
      <c r="LUM13" s="513"/>
      <c r="LUN13" s="513"/>
      <c r="LUO13" s="513"/>
      <c r="LUP13" s="513"/>
      <c r="LUQ13" s="513"/>
      <c r="LUR13" s="513"/>
      <c r="LUS13" s="513"/>
      <c r="LUT13" s="513"/>
      <c r="LUU13" s="513"/>
      <c r="LUV13" s="513"/>
      <c r="LUW13" s="513"/>
      <c r="LUX13" s="513"/>
      <c r="LUY13" s="513"/>
      <c r="LUZ13" s="513"/>
      <c r="LVA13" s="513"/>
      <c r="LVB13" s="513"/>
      <c r="LVC13" s="513"/>
      <c r="LVD13" s="513"/>
      <c r="LVE13" s="513"/>
      <c r="LVF13" s="513"/>
      <c r="LVG13" s="513"/>
      <c r="LVH13" s="513"/>
      <c r="LVI13" s="513"/>
      <c r="LVJ13" s="513"/>
      <c r="LVK13" s="513"/>
      <c r="LVL13" s="513"/>
      <c r="LVM13" s="513"/>
      <c r="LVN13" s="513"/>
      <c r="LVO13" s="513"/>
      <c r="LVP13" s="513"/>
      <c r="LVQ13" s="513"/>
      <c r="LVR13" s="513"/>
      <c r="LVS13" s="513"/>
      <c r="LVT13" s="513"/>
      <c r="LVU13" s="513"/>
      <c r="LVV13" s="513"/>
      <c r="LVW13" s="513"/>
      <c r="LVX13" s="513"/>
      <c r="LVY13" s="513"/>
      <c r="LVZ13" s="513"/>
      <c r="LWA13" s="513"/>
      <c r="LWB13" s="513"/>
      <c r="LWC13" s="513"/>
      <c r="LWD13" s="513"/>
      <c r="LWE13" s="513"/>
      <c r="LWF13" s="513"/>
      <c r="LWG13" s="513"/>
      <c r="LWH13" s="513"/>
      <c r="LWI13" s="513"/>
      <c r="LWJ13" s="513"/>
      <c r="LWK13" s="513"/>
      <c r="LWL13" s="513"/>
      <c r="LWM13" s="513"/>
      <c r="LWN13" s="513"/>
      <c r="LWO13" s="513"/>
      <c r="LWP13" s="513"/>
      <c r="LWQ13" s="513"/>
      <c r="LWR13" s="513"/>
      <c r="LWS13" s="513"/>
      <c r="LWT13" s="513"/>
      <c r="LWU13" s="513"/>
      <c r="LWV13" s="513"/>
      <c r="LWW13" s="513"/>
      <c r="LWX13" s="513"/>
      <c r="LWY13" s="513"/>
      <c r="LWZ13" s="513"/>
      <c r="LXA13" s="513"/>
      <c r="LXB13" s="513"/>
      <c r="LXC13" s="513"/>
      <c r="LXD13" s="513"/>
      <c r="LXE13" s="513"/>
      <c r="LXF13" s="513"/>
      <c r="LXG13" s="513"/>
      <c r="LXH13" s="513"/>
      <c r="LXI13" s="513"/>
      <c r="LXJ13" s="513"/>
      <c r="LXK13" s="513"/>
      <c r="LXL13" s="513"/>
      <c r="LXM13" s="513"/>
      <c r="LXN13" s="513"/>
      <c r="LXO13" s="513"/>
      <c r="LXP13" s="513"/>
      <c r="LXQ13" s="513"/>
      <c r="LXR13" s="513"/>
      <c r="LXS13" s="513"/>
      <c r="LXT13" s="513"/>
      <c r="LXU13" s="513"/>
      <c r="LXV13" s="513"/>
      <c r="LXW13" s="513"/>
      <c r="LXX13" s="513"/>
      <c r="LXY13" s="513"/>
      <c r="LXZ13" s="513"/>
      <c r="LYA13" s="513"/>
      <c r="LYB13" s="513"/>
      <c r="LYC13" s="513"/>
      <c r="LYD13" s="513"/>
      <c r="LYE13" s="513"/>
      <c r="LYF13" s="513"/>
      <c r="LYG13" s="513"/>
      <c r="LYH13" s="513"/>
      <c r="LYI13" s="513"/>
      <c r="LYJ13" s="513"/>
      <c r="LYK13" s="513"/>
      <c r="LYL13" s="513"/>
      <c r="LYM13" s="513"/>
      <c r="LYN13" s="513"/>
      <c r="LYO13" s="513"/>
      <c r="LYP13" s="513"/>
      <c r="LYQ13" s="513"/>
      <c r="LYR13" s="513"/>
      <c r="LYS13" s="513"/>
      <c r="LYT13" s="513"/>
      <c r="LYU13" s="513"/>
      <c r="LYV13" s="513"/>
      <c r="LYW13" s="513"/>
      <c r="LYX13" s="513"/>
      <c r="LYY13" s="513"/>
      <c r="LYZ13" s="513"/>
      <c r="LZA13" s="513"/>
      <c r="LZB13" s="513"/>
      <c r="LZC13" s="513"/>
      <c r="LZD13" s="513"/>
      <c r="LZE13" s="513"/>
      <c r="LZF13" s="513"/>
      <c r="LZG13" s="513"/>
      <c r="LZH13" s="513"/>
      <c r="LZI13" s="513"/>
      <c r="LZJ13" s="513"/>
      <c r="LZK13" s="513"/>
      <c r="LZL13" s="513"/>
      <c r="LZM13" s="513"/>
      <c r="LZN13" s="513"/>
      <c r="LZO13" s="513"/>
      <c r="LZP13" s="513"/>
      <c r="LZQ13" s="513"/>
      <c r="LZR13" s="513"/>
      <c r="LZS13" s="513"/>
      <c r="LZT13" s="513"/>
      <c r="LZU13" s="513"/>
      <c r="LZV13" s="513"/>
      <c r="LZW13" s="513"/>
      <c r="LZX13" s="513"/>
      <c r="LZY13" s="513"/>
      <c r="LZZ13" s="513"/>
      <c r="MAA13" s="513"/>
      <c r="MAB13" s="513"/>
      <c r="MAC13" s="513"/>
      <c r="MAD13" s="513"/>
      <c r="MAE13" s="513"/>
      <c r="MAF13" s="513"/>
      <c r="MAG13" s="513"/>
      <c r="MAH13" s="513"/>
      <c r="MAI13" s="513"/>
      <c r="MAJ13" s="513"/>
      <c r="MAK13" s="513"/>
      <c r="MAL13" s="513"/>
      <c r="MAM13" s="513"/>
      <c r="MAN13" s="513"/>
      <c r="MAO13" s="513"/>
      <c r="MAP13" s="513"/>
      <c r="MAQ13" s="513"/>
      <c r="MAR13" s="513"/>
      <c r="MAS13" s="513"/>
      <c r="MAT13" s="513"/>
      <c r="MAU13" s="513"/>
      <c r="MAV13" s="513"/>
      <c r="MAW13" s="513"/>
      <c r="MAX13" s="513"/>
      <c r="MAY13" s="513"/>
      <c r="MAZ13" s="513"/>
      <c r="MBA13" s="513"/>
      <c r="MBB13" s="513"/>
      <c r="MBC13" s="513"/>
      <c r="MBD13" s="513"/>
      <c r="MBE13" s="513"/>
      <c r="MBF13" s="513"/>
      <c r="MBG13" s="513"/>
      <c r="MBH13" s="513"/>
      <c r="MBI13" s="513"/>
      <c r="MBJ13" s="513"/>
      <c r="MBK13" s="513"/>
      <c r="MBL13" s="513"/>
      <c r="MBM13" s="513"/>
      <c r="MBN13" s="513"/>
      <c r="MBO13" s="513"/>
      <c r="MBP13" s="513"/>
      <c r="MBQ13" s="513"/>
      <c r="MBR13" s="513"/>
      <c r="MBS13" s="513"/>
      <c r="MBT13" s="513"/>
      <c r="MBU13" s="513"/>
      <c r="MBV13" s="513"/>
      <c r="MBW13" s="513"/>
      <c r="MBX13" s="513"/>
      <c r="MBY13" s="513"/>
      <c r="MBZ13" s="513"/>
      <c r="MCA13" s="513"/>
      <c r="MCB13" s="513"/>
      <c r="MCC13" s="513"/>
      <c r="MCD13" s="513"/>
      <c r="MCE13" s="513"/>
      <c r="MCF13" s="513"/>
      <c r="MCG13" s="513"/>
      <c r="MCH13" s="513"/>
      <c r="MCI13" s="513"/>
      <c r="MCJ13" s="513"/>
      <c r="MCK13" s="513"/>
      <c r="MCL13" s="513"/>
      <c r="MCM13" s="513"/>
      <c r="MCN13" s="513"/>
      <c r="MCO13" s="513"/>
      <c r="MCP13" s="513"/>
      <c r="MCQ13" s="513"/>
      <c r="MCR13" s="513"/>
      <c r="MCS13" s="513"/>
      <c r="MCT13" s="513"/>
      <c r="MCU13" s="513"/>
      <c r="MCV13" s="513"/>
      <c r="MCW13" s="513"/>
      <c r="MCX13" s="513"/>
      <c r="MCY13" s="513"/>
      <c r="MCZ13" s="513"/>
      <c r="MDA13" s="513"/>
      <c r="MDB13" s="513"/>
      <c r="MDC13" s="513"/>
      <c r="MDD13" s="513"/>
      <c r="MDE13" s="513"/>
      <c r="MDF13" s="513"/>
      <c r="MDG13" s="513"/>
      <c r="MDH13" s="513"/>
      <c r="MDI13" s="513"/>
      <c r="MDJ13" s="513"/>
      <c r="MDK13" s="513"/>
      <c r="MDL13" s="513"/>
      <c r="MDM13" s="513"/>
      <c r="MDN13" s="513"/>
      <c r="MDO13" s="513"/>
      <c r="MDP13" s="513"/>
      <c r="MDQ13" s="513"/>
      <c r="MDR13" s="513"/>
      <c r="MDS13" s="513"/>
      <c r="MDT13" s="513"/>
      <c r="MDU13" s="513"/>
      <c r="MDV13" s="513"/>
      <c r="MDW13" s="513"/>
      <c r="MDX13" s="513"/>
      <c r="MDY13" s="513"/>
      <c r="MDZ13" s="513"/>
      <c r="MEA13" s="513"/>
      <c r="MEB13" s="513"/>
      <c r="MEC13" s="513"/>
      <c r="MED13" s="513"/>
      <c r="MEE13" s="513"/>
      <c r="MEF13" s="513"/>
      <c r="MEG13" s="513"/>
      <c r="MEH13" s="513"/>
      <c r="MEI13" s="513"/>
      <c r="MEJ13" s="513"/>
      <c r="MEK13" s="513"/>
      <c r="MEL13" s="513"/>
      <c r="MEM13" s="513"/>
      <c r="MEN13" s="513"/>
      <c r="MEO13" s="513"/>
      <c r="MEP13" s="513"/>
      <c r="MEQ13" s="513"/>
      <c r="MER13" s="513"/>
      <c r="MES13" s="513"/>
      <c r="MET13" s="513"/>
      <c r="MEU13" s="513"/>
      <c r="MEV13" s="513"/>
      <c r="MEW13" s="513"/>
      <c r="MEX13" s="513"/>
      <c r="MEY13" s="513"/>
      <c r="MEZ13" s="513"/>
      <c r="MFA13" s="513"/>
      <c r="MFB13" s="513"/>
      <c r="MFC13" s="513"/>
      <c r="MFD13" s="513"/>
      <c r="MFE13" s="513"/>
      <c r="MFF13" s="513"/>
      <c r="MFG13" s="513"/>
      <c r="MFH13" s="513"/>
      <c r="MFI13" s="513"/>
      <c r="MFJ13" s="513"/>
      <c r="MFK13" s="513"/>
      <c r="MFL13" s="513"/>
      <c r="MFM13" s="513"/>
      <c r="MFN13" s="513"/>
      <c r="MFO13" s="513"/>
      <c r="MFP13" s="513"/>
      <c r="MFQ13" s="513"/>
      <c r="MFR13" s="513"/>
      <c r="MFS13" s="513"/>
      <c r="MFT13" s="513"/>
      <c r="MFU13" s="513"/>
      <c r="MFV13" s="513"/>
      <c r="MFW13" s="513"/>
      <c r="MFX13" s="513"/>
      <c r="MFY13" s="513"/>
      <c r="MFZ13" s="513"/>
      <c r="MGA13" s="513"/>
      <c r="MGB13" s="513"/>
      <c r="MGC13" s="513"/>
      <c r="MGD13" s="513"/>
      <c r="MGE13" s="513"/>
      <c r="MGF13" s="513"/>
      <c r="MGG13" s="513"/>
      <c r="MGH13" s="513"/>
      <c r="MGI13" s="513"/>
      <c r="MGJ13" s="513"/>
      <c r="MGK13" s="513"/>
      <c r="MGL13" s="513"/>
      <c r="MGM13" s="513"/>
      <c r="MGN13" s="513"/>
      <c r="MGO13" s="513"/>
      <c r="MGP13" s="513"/>
      <c r="MGQ13" s="513"/>
      <c r="MGR13" s="513"/>
      <c r="MGS13" s="513"/>
      <c r="MGT13" s="513"/>
      <c r="MGU13" s="513"/>
      <c r="MGV13" s="513"/>
      <c r="MGW13" s="513"/>
      <c r="MGX13" s="513"/>
      <c r="MGY13" s="513"/>
      <c r="MGZ13" s="513"/>
      <c r="MHA13" s="513"/>
      <c r="MHB13" s="513"/>
      <c r="MHC13" s="513"/>
      <c r="MHD13" s="513"/>
      <c r="MHE13" s="513"/>
      <c r="MHF13" s="513"/>
      <c r="MHG13" s="513"/>
      <c r="MHH13" s="513"/>
      <c r="MHI13" s="513"/>
      <c r="MHJ13" s="513"/>
      <c r="MHK13" s="513"/>
      <c r="MHL13" s="513"/>
      <c r="MHM13" s="513"/>
      <c r="MHN13" s="513"/>
      <c r="MHO13" s="513"/>
      <c r="MHP13" s="513"/>
      <c r="MHQ13" s="513"/>
      <c r="MHR13" s="513"/>
      <c r="MHS13" s="513"/>
      <c r="MHT13" s="513"/>
      <c r="MHU13" s="513"/>
      <c r="MHV13" s="513"/>
      <c r="MHW13" s="513"/>
      <c r="MHX13" s="513"/>
      <c r="MHY13" s="513"/>
      <c r="MHZ13" s="513"/>
      <c r="MIA13" s="513"/>
      <c r="MIB13" s="513"/>
      <c r="MIC13" s="513"/>
      <c r="MID13" s="513"/>
      <c r="MIE13" s="513"/>
      <c r="MIF13" s="513"/>
      <c r="MIG13" s="513"/>
      <c r="MIH13" s="513"/>
      <c r="MII13" s="513"/>
      <c r="MIJ13" s="513"/>
      <c r="MIK13" s="513"/>
      <c r="MIL13" s="513"/>
      <c r="MIM13" s="513"/>
      <c r="MIN13" s="513"/>
      <c r="MIO13" s="513"/>
      <c r="MIP13" s="513"/>
      <c r="MIQ13" s="513"/>
      <c r="MIR13" s="513"/>
      <c r="MIS13" s="513"/>
      <c r="MIT13" s="513"/>
      <c r="MIU13" s="513"/>
      <c r="MIV13" s="513"/>
      <c r="MIW13" s="513"/>
      <c r="MIX13" s="513"/>
      <c r="MIY13" s="513"/>
      <c r="MIZ13" s="513"/>
      <c r="MJA13" s="513"/>
      <c r="MJB13" s="513"/>
      <c r="MJC13" s="513"/>
      <c r="MJD13" s="513"/>
      <c r="MJE13" s="513"/>
      <c r="MJF13" s="513"/>
      <c r="MJG13" s="513"/>
      <c r="MJH13" s="513"/>
      <c r="MJI13" s="513"/>
      <c r="MJJ13" s="513"/>
      <c r="MJK13" s="513"/>
      <c r="MJL13" s="513"/>
      <c r="MJM13" s="513"/>
      <c r="MJN13" s="513"/>
      <c r="MJO13" s="513"/>
      <c r="MJP13" s="513"/>
      <c r="MJQ13" s="513"/>
      <c r="MJR13" s="513"/>
      <c r="MJS13" s="513"/>
      <c r="MJT13" s="513"/>
      <c r="MJU13" s="513"/>
      <c r="MJV13" s="513"/>
      <c r="MJW13" s="513"/>
      <c r="MJX13" s="513"/>
      <c r="MJY13" s="513"/>
      <c r="MJZ13" s="513"/>
      <c r="MKA13" s="513"/>
      <c r="MKB13" s="513"/>
      <c r="MKC13" s="513"/>
      <c r="MKD13" s="513"/>
      <c r="MKE13" s="513"/>
      <c r="MKF13" s="513"/>
      <c r="MKG13" s="513"/>
      <c r="MKH13" s="513"/>
      <c r="MKI13" s="513"/>
      <c r="MKJ13" s="513"/>
      <c r="MKK13" s="513"/>
      <c r="MKL13" s="513"/>
      <c r="MKM13" s="513"/>
      <c r="MKN13" s="513"/>
      <c r="MKO13" s="513"/>
      <c r="MKP13" s="513"/>
      <c r="MKQ13" s="513"/>
      <c r="MKR13" s="513"/>
      <c r="MKS13" s="513"/>
      <c r="MKT13" s="513"/>
      <c r="MKU13" s="513"/>
      <c r="MKV13" s="513"/>
      <c r="MKW13" s="513"/>
      <c r="MKX13" s="513"/>
      <c r="MKY13" s="513"/>
      <c r="MKZ13" s="513"/>
      <c r="MLA13" s="513"/>
      <c r="MLB13" s="513"/>
      <c r="MLC13" s="513"/>
      <c r="MLD13" s="513"/>
      <c r="MLE13" s="513"/>
      <c r="MLF13" s="513"/>
      <c r="MLG13" s="513"/>
      <c r="MLH13" s="513"/>
      <c r="MLI13" s="513"/>
      <c r="MLJ13" s="513"/>
      <c r="MLK13" s="513"/>
      <c r="MLL13" s="513"/>
      <c r="MLM13" s="513"/>
      <c r="MLN13" s="513"/>
      <c r="MLO13" s="513"/>
      <c r="MLP13" s="513"/>
      <c r="MLQ13" s="513"/>
      <c r="MLR13" s="513"/>
      <c r="MLS13" s="513"/>
      <c r="MLT13" s="513"/>
      <c r="MLU13" s="513"/>
      <c r="MLV13" s="513"/>
      <c r="MLW13" s="513"/>
      <c r="MLX13" s="513"/>
      <c r="MLY13" s="513"/>
      <c r="MLZ13" s="513"/>
      <c r="MMA13" s="513"/>
      <c r="MMB13" s="513"/>
      <c r="MMC13" s="513"/>
      <c r="MMD13" s="513"/>
      <c r="MME13" s="513"/>
      <c r="MMF13" s="513"/>
      <c r="MMG13" s="513"/>
      <c r="MMH13" s="513"/>
      <c r="MMI13" s="513"/>
      <c r="MMJ13" s="513"/>
      <c r="MMK13" s="513"/>
      <c r="MML13" s="513"/>
      <c r="MMM13" s="513"/>
      <c r="MMN13" s="513"/>
      <c r="MMO13" s="513"/>
      <c r="MMP13" s="513"/>
      <c r="MMQ13" s="513"/>
      <c r="MMR13" s="513"/>
      <c r="MMS13" s="513"/>
      <c r="MMT13" s="513"/>
      <c r="MMU13" s="513"/>
      <c r="MMV13" s="513"/>
      <c r="MMW13" s="513"/>
      <c r="MMX13" s="513"/>
      <c r="MMY13" s="513"/>
      <c r="MMZ13" s="513"/>
      <c r="MNA13" s="513"/>
      <c r="MNB13" s="513"/>
      <c r="MNC13" s="513"/>
      <c r="MND13" s="513"/>
      <c r="MNE13" s="513"/>
      <c r="MNF13" s="513"/>
      <c r="MNG13" s="513"/>
      <c r="MNH13" s="513"/>
      <c r="MNI13" s="513"/>
      <c r="MNJ13" s="513"/>
      <c r="MNK13" s="513"/>
      <c r="MNL13" s="513"/>
      <c r="MNM13" s="513"/>
      <c r="MNN13" s="513"/>
      <c r="MNO13" s="513"/>
      <c r="MNP13" s="513"/>
      <c r="MNQ13" s="513"/>
      <c r="MNR13" s="513"/>
      <c r="MNS13" s="513"/>
      <c r="MNT13" s="513"/>
      <c r="MNU13" s="513"/>
      <c r="MNV13" s="513"/>
      <c r="MNW13" s="513"/>
      <c r="MNX13" s="513"/>
      <c r="MNY13" s="513"/>
      <c r="MNZ13" s="513"/>
      <c r="MOA13" s="513"/>
      <c r="MOB13" s="513"/>
      <c r="MOC13" s="513"/>
      <c r="MOD13" s="513"/>
      <c r="MOE13" s="513"/>
      <c r="MOF13" s="513"/>
      <c r="MOG13" s="513"/>
      <c r="MOH13" s="513"/>
      <c r="MOI13" s="513"/>
      <c r="MOJ13" s="513"/>
      <c r="MOK13" s="513"/>
      <c r="MOL13" s="513"/>
      <c r="MOM13" s="513"/>
      <c r="MON13" s="513"/>
      <c r="MOO13" s="513"/>
      <c r="MOP13" s="513"/>
      <c r="MOQ13" s="513"/>
      <c r="MOR13" s="513"/>
      <c r="MOS13" s="513"/>
      <c r="MOT13" s="513"/>
      <c r="MOU13" s="513"/>
      <c r="MOV13" s="513"/>
      <c r="MOW13" s="513"/>
      <c r="MOX13" s="513"/>
      <c r="MOY13" s="513"/>
      <c r="MOZ13" s="513"/>
      <c r="MPA13" s="513"/>
      <c r="MPB13" s="513"/>
      <c r="MPC13" s="513"/>
      <c r="MPD13" s="513"/>
      <c r="MPE13" s="513"/>
      <c r="MPF13" s="513"/>
      <c r="MPG13" s="513"/>
      <c r="MPH13" s="513"/>
      <c r="MPI13" s="513"/>
      <c r="MPJ13" s="513"/>
      <c r="MPK13" s="513"/>
      <c r="MPL13" s="513"/>
      <c r="MPM13" s="513"/>
      <c r="MPN13" s="513"/>
      <c r="MPO13" s="513"/>
      <c r="MPP13" s="513"/>
      <c r="MPQ13" s="513"/>
      <c r="MPR13" s="513"/>
      <c r="MPS13" s="513"/>
      <c r="MPT13" s="513"/>
      <c r="MPU13" s="513"/>
      <c r="MPV13" s="513"/>
      <c r="MPW13" s="513"/>
      <c r="MPX13" s="513"/>
      <c r="MPY13" s="513"/>
      <c r="MPZ13" s="513"/>
      <c r="MQA13" s="513"/>
      <c r="MQB13" s="513"/>
      <c r="MQC13" s="513"/>
      <c r="MQD13" s="513"/>
      <c r="MQE13" s="513"/>
      <c r="MQF13" s="513"/>
      <c r="MQG13" s="513"/>
      <c r="MQH13" s="513"/>
      <c r="MQI13" s="513"/>
      <c r="MQJ13" s="513"/>
      <c r="MQK13" s="513"/>
      <c r="MQL13" s="513"/>
      <c r="MQM13" s="513"/>
      <c r="MQN13" s="513"/>
      <c r="MQO13" s="513"/>
      <c r="MQP13" s="513"/>
      <c r="MQQ13" s="513"/>
      <c r="MQR13" s="513"/>
      <c r="MQS13" s="513"/>
      <c r="MQT13" s="513"/>
      <c r="MQU13" s="513"/>
      <c r="MQV13" s="513"/>
      <c r="MQW13" s="513"/>
      <c r="MQX13" s="513"/>
      <c r="MQY13" s="513"/>
      <c r="MQZ13" s="513"/>
      <c r="MRA13" s="513"/>
      <c r="MRB13" s="513"/>
      <c r="MRC13" s="513"/>
      <c r="MRD13" s="513"/>
      <c r="MRE13" s="513"/>
      <c r="MRF13" s="513"/>
      <c r="MRG13" s="513"/>
      <c r="MRH13" s="513"/>
      <c r="MRI13" s="513"/>
      <c r="MRJ13" s="513"/>
      <c r="MRK13" s="513"/>
      <c r="MRL13" s="513"/>
      <c r="MRM13" s="513"/>
      <c r="MRN13" s="513"/>
      <c r="MRO13" s="513"/>
      <c r="MRP13" s="513"/>
      <c r="MRQ13" s="513"/>
      <c r="MRR13" s="513"/>
      <c r="MRS13" s="513"/>
      <c r="MRT13" s="513"/>
      <c r="MRU13" s="513"/>
      <c r="MRV13" s="513"/>
      <c r="MRW13" s="513"/>
      <c r="MRX13" s="513"/>
      <c r="MRY13" s="513"/>
      <c r="MRZ13" s="513"/>
      <c r="MSA13" s="513"/>
      <c r="MSB13" s="513"/>
      <c r="MSC13" s="513"/>
      <c r="MSD13" s="513"/>
      <c r="MSE13" s="513"/>
      <c r="MSF13" s="513"/>
      <c r="MSG13" s="513"/>
      <c r="MSH13" s="513"/>
      <c r="MSI13" s="513"/>
      <c r="MSJ13" s="513"/>
      <c r="MSK13" s="513"/>
      <c r="MSL13" s="513"/>
      <c r="MSM13" s="513"/>
      <c r="MSN13" s="513"/>
      <c r="MSO13" s="513"/>
      <c r="MSP13" s="513"/>
      <c r="MSQ13" s="513"/>
      <c r="MSR13" s="513"/>
      <c r="MSS13" s="513"/>
      <c r="MST13" s="513"/>
      <c r="MSU13" s="513"/>
      <c r="MSV13" s="513"/>
      <c r="MSW13" s="513"/>
      <c r="MSX13" s="513"/>
      <c r="MSY13" s="513"/>
      <c r="MSZ13" s="513"/>
      <c r="MTA13" s="513"/>
      <c r="MTB13" s="513"/>
      <c r="MTC13" s="513"/>
      <c r="MTD13" s="513"/>
      <c r="MTE13" s="513"/>
      <c r="MTF13" s="513"/>
      <c r="MTG13" s="513"/>
      <c r="MTH13" s="513"/>
      <c r="MTI13" s="513"/>
      <c r="MTJ13" s="513"/>
      <c r="MTK13" s="513"/>
      <c r="MTL13" s="513"/>
      <c r="MTM13" s="513"/>
      <c r="MTN13" s="513"/>
      <c r="MTO13" s="513"/>
      <c r="MTP13" s="513"/>
      <c r="MTQ13" s="513"/>
      <c r="MTR13" s="513"/>
      <c r="MTS13" s="513"/>
      <c r="MTT13" s="513"/>
      <c r="MTU13" s="513"/>
      <c r="MTV13" s="513"/>
      <c r="MTW13" s="513"/>
      <c r="MTX13" s="513"/>
      <c r="MTY13" s="513"/>
      <c r="MTZ13" s="513"/>
      <c r="MUA13" s="513"/>
      <c r="MUB13" s="513"/>
      <c r="MUC13" s="513"/>
      <c r="MUD13" s="513"/>
      <c r="MUE13" s="513"/>
      <c r="MUF13" s="513"/>
      <c r="MUG13" s="513"/>
      <c r="MUH13" s="513"/>
      <c r="MUI13" s="513"/>
      <c r="MUJ13" s="513"/>
      <c r="MUK13" s="513"/>
      <c r="MUL13" s="513"/>
      <c r="MUM13" s="513"/>
      <c r="MUN13" s="513"/>
      <c r="MUO13" s="513"/>
      <c r="MUP13" s="513"/>
      <c r="MUQ13" s="513"/>
      <c r="MUR13" s="513"/>
      <c r="MUS13" s="513"/>
      <c r="MUT13" s="513"/>
      <c r="MUU13" s="513"/>
      <c r="MUV13" s="513"/>
      <c r="MUW13" s="513"/>
      <c r="MUX13" s="513"/>
      <c r="MUY13" s="513"/>
      <c r="MUZ13" s="513"/>
      <c r="MVA13" s="513"/>
      <c r="MVB13" s="513"/>
      <c r="MVC13" s="513"/>
      <c r="MVD13" s="513"/>
      <c r="MVE13" s="513"/>
      <c r="MVF13" s="513"/>
      <c r="MVG13" s="513"/>
      <c r="MVH13" s="513"/>
      <c r="MVI13" s="513"/>
      <c r="MVJ13" s="513"/>
      <c r="MVK13" s="513"/>
      <c r="MVL13" s="513"/>
      <c r="MVM13" s="513"/>
      <c r="MVN13" s="513"/>
      <c r="MVO13" s="513"/>
      <c r="MVP13" s="513"/>
      <c r="MVQ13" s="513"/>
      <c r="MVR13" s="513"/>
      <c r="MVS13" s="513"/>
      <c r="MVT13" s="513"/>
      <c r="MVU13" s="513"/>
      <c r="MVV13" s="513"/>
      <c r="MVW13" s="513"/>
      <c r="MVX13" s="513"/>
      <c r="MVY13" s="513"/>
      <c r="MVZ13" s="513"/>
      <c r="MWA13" s="513"/>
      <c r="MWB13" s="513"/>
      <c r="MWC13" s="513"/>
      <c r="MWD13" s="513"/>
      <c r="MWE13" s="513"/>
      <c r="MWF13" s="513"/>
      <c r="MWG13" s="513"/>
      <c r="MWH13" s="513"/>
      <c r="MWI13" s="513"/>
      <c r="MWJ13" s="513"/>
      <c r="MWK13" s="513"/>
      <c r="MWL13" s="513"/>
      <c r="MWM13" s="513"/>
      <c r="MWN13" s="513"/>
      <c r="MWO13" s="513"/>
      <c r="MWP13" s="513"/>
      <c r="MWQ13" s="513"/>
      <c r="MWR13" s="513"/>
      <c r="MWS13" s="513"/>
      <c r="MWT13" s="513"/>
      <c r="MWU13" s="513"/>
      <c r="MWV13" s="513"/>
      <c r="MWW13" s="513"/>
      <c r="MWX13" s="513"/>
      <c r="MWY13" s="513"/>
      <c r="MWZ13" s="513"/>
      <c r="MXA13" s="513"/>
      <c r="MXB13" s="513"/>
      <c r="MXC13" s="513"/>
      <c r="MXD13" s="513"/>
      <c r="MXE13" s="513"/>
      <c r="MXF13" s="513"/>
      <c r="MXG13" s="513"/>
      <c r="MXH13" s="513"/>
      <c r="MXI13" s="513"/>
      <c r="MXJ13" s="513"/>
      <c r="MXK13" s="513"/>
      <c r="MXL13" s="513"/>
      <c r="MXM13" s="513"/>
      <c r="MXN13" s="513"/>
      <c r="MXO13" s="513"/>
      <c r="MXP13" s="513"/>
      <c r="MXQ13" s="513"/>
      <c r="MXR13" s="513"/>
      <c r="MXS13" s="513"/>
      <c r="MXT13" s="513"/>
      <c r="MXU13" s="513"/>
      <c r="MXV13" s="513"/>
      <c r="MXW13" s="513"/>
      <c r="MXX13" s="513"/>
      <c r="MXY13" s="513"/>
      <c r="MXZ13" s="513"/>
      <c r="MYA13" s="513"/>
      <c r="MYB13" s="513"/>
      <c r="MYC13" s="513"/>
      <c r="MYD13" s="513"/>
      <c r="MYE13" s="513"/>
      <c r="MYF13" s="513"/>
      <c r="MYG13" s="513"/>
      <c r="MYH13" s="513"/>
      <c r="MYI13" s="513"/>
      <c r="MYJ13" s="513"/>
      <c r="MYK13" s="513"/>
      <c r="MYL13" s="513"/>
      <c r="MYM13" s="513"/>
      <c r="MYN13" s="513"/>
      <c r="MYO13" s="513"/>
      <c r="MYP13" s="513"/>
      <c r="MYQ13" s="513"/>
      <c r="MYR13" s="513"/>
      <c r="MYS13" s="513"/>
      <c r="MYT13" s="513"/>
      <c r="MYU13" s="513"/>
      <c r="MYV13" s="513"/>
      <c r="MYW13" s="513"/>
      <c r="MYX13" s="513"/>
      <c r="MYY13" s="513"/>
      <c r="MYZ13" s="513"/>
      <c r="MZA13" s="513"/>
      <c r="MZB13" s="513"/>
      <c r="MZC13" s="513"/>
      <c r="MZD13" s="513"/>
      <c r="MZE13" s="513"/>
      <c r="MZF13" s="513"/>
      <c r="MZG13" s="513"/>
      <c r="MZH13" s="513"/>
      <c r="MZI13" s="513"/>
      <c r="MZJ13" s="513"/>
      <c r="MZK13" s="513"/>
      <c r="MZL13" s="513"/>
      <c r="MZM13" s="513"/>
      <c r="MZN13" s="513"/>
      <c r="MZO13" s="513"/>
      <c r="MZP13" s="513"/>
      <c r="MZQ13" s="513"/>
      <c r="MZR13" s="513"/>
      <c r="MZS13" s="513"/>
      <c r="MZT13" s="513"/>
      <c r="MZU13" s="513"/>
      <c r="MZV13" s="513"/>
      <c r="MZW13" s="513"/>
      <c r="MZX13" s="513"/>
      <c r="MZY13" s="513"/>
      <c r="MZZ13" s="513"/>
      <c r="NAA13" s="513"/>
      <c r="NAB13" s="513"/>
      <c r="NAC13" s="513"/>
      <c r="NAD13" s="513"/>
      <c r="NAE13" s="513"/>
      <c r="NAF13" s="513"/>
      <c r="NAG13" s="513"/>
      <c r="NAH13" s="513"/>
      <c r="NAI13" s="513"/>
      <c r="NAJ13" s="513"/>
      <c r="NAK13" s="513"/>
      <c r="NAL13" s="513"/>
      <c r="NAM13" s="513"/>
      <c r="NAN13" s="513"/>
      <c r="NAO13" s="513"/>
      <c r="NAP13" s="513"/>
      <c r="NAQ13" s="513"/>
      <c r="NAR13" s="513"/>
      <c r="NAS13" s="513"/>
      <c r="NAT13" s="513"/>
      <c r="NAU13" s="513"/>
      <c r="NAV13" s="513"/>
      <c r="NAW13" s="513"/>
      <c r="NAX13" s="513"/>
      <c r="NAY13" s="513"/>
      <c r="NAZ13" s="513"/>
      <c r="NBA13" s="513"/>
      <c r="NBB13" s="513"/>
      <c r="NBC13" s="513"/>
      <c r="NBD13" s="513"/>
      <c r="NBE13" s="513"/>
      <c r="NBF13" s="513"/>
      <c r="NBG13" s="513"/>
      <c r="NBH13" s="513"/>
      <c r="NBI13" s="513"/>
      <c r="NBJ13" s="513"/>
      <c r="NBK13" s="513"/>
      <c r="NBL13" s="513"/>
      <c r="NBM13" s="513"/>
      <c r="NBN13" s="513"/>
      <c r="NBO13" s="513"/>
      <c r="NBP13" s="513"/>
      <c r="NBQ13" s="513"/>
      <c r="NBR13" s="513"/>
      <c r="NBS13" s="513"/>
      <c r="NBT13" s="513"/>
      <c r="NBU13" s="513"/>
      <c r="NBV13" s="513"/>
      <c r="NBW13" s="513"/>
      <c r="NBX13" s="513"/>
      <c r="NBY13" s="513"/>
      <c r="NBZ13" s="513"/>
      <c r="NCA13" s="513"/>
      <c r="NCB13" s="513"/>
      <c r="NCC13" s="513"/>
      <c r="NCD13" s="513"/>
      <c r="NCE13" s="513"/>
      <c r="NCF13" s="513"/>
      <c r="NCG13" s="513"/>
      <c r="NCH13" s="513"/>
      <c r="NCI13" s="513"/>
      <c r="NCJ13" s="513"/>
      <c r="NCK13" s="513"/>
      <c r="NCL13" s="513"/>
      <c r="NCM13" s="513"/>
      <c r="NCN13" s="513"/>
      <c r="NCO13" s="513"/>
      <c r="NCP13" s="513"/>
      <c r="NCQ13" s="513"/>
      <c r="NCR13" s="513"/>
      <c r="NCS13" s="513"/>
      <c r="NCT13" s="513"/>
      <c r="NCU13" s="513"/>
      <c r="NCV13" s="513"/>
      <c r="NCW13" s="513"/>
      <c r="NCX13" s="513"/>
      <c r="NCY13" s="513"/>
      <c r="NCZ13" s="513"/>
      <c r="NDA13" s="513"/>
      <c r="NDB13" s="513"/>
      <c r="NDC13" s="513"/>
      <c r="NDD13" s="513"/>
      <c r="NDE13" s="513"/>
      <c r="NDF13" s="513"/>
      <c r="NDG13" s="513"/>
      <c r="NDH13" s="513"/>
      <c r="NDI13" s="513"/>
      <c r="NDJ13" s="513"/>
      <c r="NDK13" s="513"/>
      <c r="NDL13" s="513"/>
      <c r="NDM13" s="513"/>
      <c r="NDN13" s="513"/>
      <c r="NDO13" s="513"/>
      <c r="NDP13" s="513"/>
      <c r="NDQ13" s="513"/>
      <c r="NDR13" s="513"/>
      <c r="NDS13" s="513"/>
      <c r="NDT13" s="513"/>
      <c r="NDU13" s="513"/>
      <c r="NDV13" s="513"/>
      <c r="NDW13" s="513"/>
      <c r="NDX13" s="513"/>
      <c r="NDY13" s="513"/>
      <c r="NDZ13" s="513"/>
      <c r="NEA13" s="513"/>
      <c r="NEB13" s="513"/>
      <c r="NEC13" s="513"/>
      <c r="NED13" s="513"/>
      <c r="NEE13" s="513"/>
      <c r="NEF13" s="513"/>
      <c r="NEG13" s="513"/>
      <c r="NEH13" s="513"/>
      <c r="NEI13" s="513"/>
      <c r="NEJ13" s="513"/>
      <c r="NEK13" s="513"/>
      <c r="NEL13" s="513"/>
      <c r="NEM13" s="513"/>
      <c r="NEN13" s="513"/>
      <c r="NEO13" s="513"/>
      <c r="NEP13" s="513"/>
      <c r="NEQ13" s="513"/>
      <c r="NER13" s="513"/>
      <c r="NES13" s="513"/>
      <c r="NET13" s="513"/>
      <c r="NEU13" s="513"/>
      <c r="NEV13" s="513"/>
      <c r="NEW13" s="513"/>
      <c r="NEX13" s="513"/>
      <c r="NEY13" s="513"/>
      <c r="NEZ13" s="513"/>
      <c r="NFA13" s="513"/>
      <c r="NFB13" s="513"/>
      <c r="NFC13" s="513"/>
      <c r="NFD13" s="513"/>
      <c r="NFE13" s="513"/>
      <c r="NFF13" s="513"/>
      <c r="NFG13" s="513"/>
      <c r="NFH13" s="513"/>
      <c r="NFI13" s="513"/>
      <c r="NFJ13" s="513"/>
      <c r="NFK13" s="513"/>
      <c r="NFL13" s="513"/>
      <c r="NFM13" s="513"/>
      <c r="NFN13" s="513"/>
      <c r="NFO13" s="513"/>
      <c r="NFP13" s="513"/>
      <c r="NFQ13" s="513"/>
      <c r="NFR13" s="513"/>
      <c r="NFS13" s="513"/>
      <c r="NFT13" s="513"/>
      <c r="NFU13" s="513"/>
      <c r="NFV13" s="513"/>
      <c r="NFW13" s="513"/>
      <c r="NFX13" s="513"/>
      <c r="NFY13" s="513"/>
      <c r="NFZ13" s="513"/>
      <c r="NGA13" s="513"/>
      <c r="NGB13" s="513"/>
      <c r="NGC13" s="513"/>
      <c r="NGD13" s="513"/>
      <c r="NGE13" s="513"/>
      <c r="NGF13" s="513"/>
      <c r="NGG13" s="513"/>
      <c r="NGH13" s="513"/>
      <c r="NGI13" s="513"/>
      <c r="NGJ13" s="513"/>
      <c r="NGK13" s="513"/>
      <c r="NGL13" s="513"/>
      <c r="NGM13" s="513"/>
      <c r="NGN13" s="513"/>
      <c r="NGO13" s="513"/>
      <c r="NGP13" s="513"/>
      <c r="NGQ13" s="513"/>
      <c r="NGR13" s="513"/>
      <c r="NGS13" s="513"/>
      <c r="NGT13" s="513"/>
      <c r="NGU13" s="513"/>
      <c r="NGV13" s="513"/>
      <c r="NGW13" s="513"/>
      <c r="NGX13" s="513"/>
      <c r="NGY13" s="513"/>
      <c r="NGZ13" s="513"/>
      <c r="NHA13" s="513"/>
      <c r="NHB13" s="513"/>
      <c r="NHC13" s="513"/>
      <c r="NHD13" s="513"/>
      <c r="NHE13" s="513"/>
      <c r="NHF13" s="513"/>
      <c r="NHG13" s="513"/>
      <c r="NHH13" s="513"/>
      <c r="NHI13" s="513"/>
      <c r="NHJ13" s="513"/>
      <c r="NHK13" s="513"/>
      <c r="NHL13" s="513"/>
      <c r="NHM13" s="513"/>
      <c r="NHN13" s="513"/>
      <c r="NHO13" s="513"/>
      <c r="NHP13" s="513"/>
      <c r="NHQ13" s="513"/>
      <c r="NHR13" s="513"/>
      <c r="NHS13" s="513"/>
      <c r="NHT13" s="513"/>
      <c r="NHU13" s="513"/>
      <c r="NHV13" s="513"/>
      <c r="NHW13" s="513"/>
      <c r="NHX13" s="513"/>
      <c r="NHY13" s="513"/>
      <c r="NHZ13" s="513"/>
      <c r="NIA13" s="513"/>
      <c r="NIB13" s="513"/>
      <c r="NIC13" s="513"/>
      <c r="NID13" s="513"/>
      <c r="NIE13" s="513"/>
      <c r="NIF13" s="513"/>
      <c r="NIG13" s="513"/>
      <c r="NIH13" s="513"/>
      <c r="NII13" s="513"/>
      <c r="NIJ13" s="513"/>
      <c r="NIK13" s="513"/>
      <c r="NIL13" s="513"/>
      <c r="NIM13" s="513"/>
      <c r="NIN13" s="513"/>
      <c r="NIO13" s="513"/>
      <c r="NIP13" s="513"/>
      <c r="NIQ13" s="513"/>
      <c r="NIR13" s="513"/>
      <c r="NIS13" s="513"/>
      <c r="NIT13" s="513"/>
      <c r="NIU13" s="513"/>
      <c r="NIV13" s="513"/>
      <c r="NIW13" s="513"/>
      <c r="NIX13" s="513"/>
      <c r="NIY13" s="513"/>
      <c r="NIZ13" s="513"/>
      <c r="NJA13" s="513"/>
      <c r="NJB13" s="513"/>
      <c r="NJC13" s="513"/>
      <c r="NJD13" s="513"/>
      <c r="NJE13" s="513"/>
      <c r="NJF13" s="513"/>
      <c r="NJG13" s="513"/>
      <c r="NJH13" s="513"/>
      <c r="NJI13" s="513"/>
      <c r="NJJ13" s="513"/>
      <c r="NJK13" s="513"/>
      <c r="NJL13" s="513"/>
      <c r="NJM13" s="513"/>
      <c r="NJN13" s="513"/>
      <c r="NJO13" s="513"/>
      <c r="NJP13" s="513"/>
      <c r="NJQ13" s="513"/>
      <c r="NJR13" s="513"/>
      <c r="NJS13" s="513"/>
      <c r="NJT13" s="513"/>
      <c r="NJU13" s="513"/>
      <c r="NJV13" s="513"/>
      <c r="NJW13" s="513"/>
      <c r="NJX13" s="513"/>
      <c r="NJY13" s="513"/>
      <c r="NJZ13" s="513"/>
      <c r="NKA13" s="513"/>
      <c r="NKB13" s="513"/>
      <c r="NKC13" s="513"/>
      <c r="NKD13" s="513"/>
      <c r="NKE13" s="513"/>
      <c r="NKF13" s="513"/>
      <c r="NKG13" s="513"/>
      <c r="NKH13" s="513"/>
      <c r="NKI13" s="513"/>
      <c r="NKJ13" s="513"/>
      <c r="NKK13" s="513"/>
      <c r="NKL13" s="513"/>
      <c r="NKM13" s="513"/>
      <c r="NKN13" s="513"/>
      <c r="NKO13" s="513"/>
      <c r="NKP13" s="513"/>
      <c r="NKQ13" s="513"/>
      <c r="NKR13" s="513"/>
      <c r="NKS13" s="513"/>
      <c r="NKT13" s="513"/>
      <c r="NKU13" s="513"/>
      <c r="NKV13" s="513"/>
      <c r="NKW13" s="513"/>
      <c r="NKX13" s="513"/>
      <c r="NKY13" s="513"/>
      <c r="NKZ13" s="513"/>
      <c r="NLA13" s="513"/>
      <c r="NLB13" s="513"/>
      <c r="NLC13" s="513"/>
      <c r="NLD13" s="513"/>
      <c r="NLE13" s="513"/>
      <c r="NLF13" s="513"/>
      <c r="NLG13" s="513"/>
      <c r="NLH13" s="513"/>
      <c r="NLI13" s="513"/>
      <c r="NLJ13" s="513"/>
      <c r="NLK13" s="513"/>
      <c r="NLL13" s="513"/>
      <c r="NLM13" s="513"/>
      <c r="NLN13" s="513"/>
      <c r="NLO13" s="513"/>
      <c r="NLP13" s="513"/>
      <c r="NLQ13" s="513"/>
      <c r="NLR13" s="513"/>
      <c r="NLS13" s="513"/>
      <c r="NLT13" s="513"/>
      <c r="NLU13" s="513"/>
      <c r="NLV13" s="513"/>
      <c r="NLW13" s="513"/>
      <c r="NLX13" s="513"/>
      <c r="NLY13" s="513"/>
      <c r="NLZ13" s="513"/>
      <c r="NMA13" s="513"/>
      <c r="NMB13" s="513"/>
      <c r="NMC13" s="513"/>
      <c r="NMD13" s="513"/>
      <c r="NME13" s="513"/>
      <c r="NMF13" s="513"/>
      <c r="NMG13" s="513"/>
      <c r="NMH13" s="513"/>
      <c r="NMI13" s="513"/>
      <c r="NMJ13" s="513"/>
      <c r="NMK13" s="513"/>
      <c r="NML13" s="513"/>
      <c r="NMM13" s="513"/>
      <c r="NMN13" s="513"/>
      <c r="NMO13" s="513"/>
      <c r="NMP13" s="513"/>
      <c r="NMQ13" s="513"/>
      <c r="NMR13" s="513"/>
      <c r="NMS13" s="513"/>
      <c r="NMT13" s="513"/>
      <c r="NMU13" s="513"/>
      <c r="NMV13" s="513"/>
      <c r="NMW13" s="513"/>
      <c r="NMX13" s="513"/>
      <c r="NMY13" s="513"/>
      <c r="NMZ13" s="513"/>
      <c r="NNA13" s="513"/>
      <c r="NNB13" s="513"/>
      <c r="NNC13" s="513"/>
      <c r="NND13" s="513"/>
      <c r="NNE13" s="513"/>
      <c r="NNF13" s="513"/>
      <c r="NNG13" s="513"/>
      <c r="NNH13" s="513"/>
      <c r="NNI13" s="513"/>
      <c r="NNJ13" s="513"/>
      <c r="NNK13" s="513"/>
      <c r="NNL13" s="513"/>
      <c r="NNM13" s="513"/>
      <c r="NNN13" s="513"/>
      <c r="NNO13" s="513"/>
      <c r="NNP13" s="513"/>
      <c r="NNQ13" s="513"/>
      <c r="NNR13" s="513"/>
      <c r="NNS13" s="513"/>
      <c r="NNT13" s="513"/>
      <c r="NNU13" s="513"/>
      <c r="NNV13" s="513"/>
      <c r="NNW13" s="513"/>
      <c r="NNX13" s="513"/>
      <c r="NNY13" s="513"/>
      <c r="NNZ13" s="513"/>
      <c r="NOA13" s="513"/>
      <c r="NOB13" s="513"/>
      <c r="NOC13" s="513"/>
      <c r="NOD13" s="513"/>
      <c r="NOE13" s="513"/>
      <c r="NOF13" s="513"/>
      <c r="NOG13" s="513"/>
      <c r="NOH13" s="513"/>
      <c r="NOI13" s="513"/>
      <c r="NOJ13" s="513"/>
      <c r="NOK13" s="513"/>
      <c r="NOL13" s="513"/>
      <c r="NOM13" s="513"/>
      <c r="NON13" s="513"/>
      <c r="NOO13" s="513"/>
      <c r="NOP13" s="513"/>
      <c r="NOQ13" s="513"/>
      <c r="NOR13" s="513"/>
      <c r="NOS13" s="513"/>
      <c r="NOT13" s="513"/>
      <c r="NOU13" s="513"/>
      <c r="NOV13" s="513"/>
      <c r="NOW13" s="513"/>
      <c r="NOX13" s="513"/>
      <c r="NOY13" s="513"/>
      <c r="NOZ13" s="513"/>
      <c r="NPA13" s="513"/>
      <c r="NPB13" s="513"/>
      <c r="NPC13" s="513"/>
      <c r="NPD13" s="513"/>
      <c r="NPE13" s="513"/>
      <c r="NPF13" s="513"/>
      <c r="NPG13" s="513"/>
      <c r="NPH13" s="513"/>
      <c r="NPI13" s="513"/>
      <c r="NPJ13" s="513"/>
      <c r="NPK13" s="513"/>
      <c r="NPL13" s="513"/>
      <c r="NPM13" s="513"/>
      <c r="NPN13" s="513"/>
      <c r="NPO13" s="513"/>
      <c r="NPP13" s="513"/>
      <c r="NPQ13" s="513"/>
      <c r="NPR13" s="513"/>
      <c r="NPS13" s="513"/>
      <c r="NPT13" s="513"/>
      <c r="NPU13" s="513"/>
      <c r="NPV13" s="513"/>
      <c r="NPW13" s="513"/>
      <c r="NPX13" s="513"/>
      <c r="NPY13" s="513"/>
      <c r="NPZ13" s="513"/>
      <c r="NQA13" s="513"/>
      <c r="NQB13" s="513"/>
      <c r="NQC13" s="513"/>
      <c r="NQD13" s="513"/>
      <c r="NQE13" s="513"/>
      <c r="NQF13" s="513"/>
      <c r="NQG13" s="513"/>
      <c r="NQH13" s="513"/>
      <c r="NQI13" s="513"/>
      <c r="NQJ13" s="513"/>
      <c r="NQK13" s="513"/>
      <c r="NQL13" s="513"/>
      <c r="NQM13" s="513"/>
      <c r="NQN13" s="513"/>
      <c r="NQO13" s="513"/>
      <c r="NQP13" s="513"/>
      <c r="NQQ13" s="513"/>
      <c r="NQR13" s="513"/>
      <c r="NQS13" s="513"/>
      <c r="NQT13" s="513"/>
      <c r="NQU13" s="513"/>
      <c r="NQV13" s="513"/>
      <c r="NQW13" s="513"/>
      <c r="NQX13" s="513"/>
      <c r="NQY13" s="513"/>
      <c r="NQZ13" s="513"/>
      <c r="NRA13" s="513"/>
      <c r="NRB13" s="513"/>
      <c r="NRC13" s="513"/>
      <c r="NRD13" s="513"/>
      <c r="NRE13" s="513"/>
      <c r="NRF13" s="513"/>
      <c r="NRG13" s="513"/>
      <c r="NRH13" s="513"/>
      <c r="NRI13" s="513"/>
      <c r="NRJ13" s="513"/>
      <c r="NRK13" s="513"/>
      <c r="NRL13" s="513"/>
      <c r="NRM13" s="513"/>
      <c r="NRN13" s="513"/>
      <c r="NRO13" s="513"/>
      <c r="NRP13" s="513"/>
      <c r="NRQ13" s="513"/>
      <c r="NRR13" s="513"/>
      <c r="NRS13" s="513"/>
      <c r="NRT13" s="513"/>
      <c r="NRU13" s="513"/>
      <c r="NRV13" s="513"/>
      <c r="NRW13" s="513"/>
      <c r="NRX13" s="513"/>
      <c r="NRY13" s="513"/>
      <c r="NRZ13" s="513"/>
      <c r="NSA13" s="513"/>
      <c r="NSB13" s="513"/>
      <c r="NSC13" s="513"/>
      <c r="NSD13" s="513"/>
      <c r="NSE13" s="513"/>
      <c r="NSF13" s="513"/>
      <c r="NSG13" s="513"/>
      <c r="NSH13" s="513"/>
      <c r="NSI13" s="513"/>
      <c r="NSJ13" s="513"/>
      <c r="NSK13" s="513"/>
      <c r="NSL13" s="513"/>
      <c r="NSM13" s="513"/>
      <c r="NSN13" s="513"/>
      <c r="NSO13" s="513"/>
      <c r="NSP13" s="513"/>
      <c r="NSQ13" s="513"/>
      <c r="NSR13" s="513"/>
      <c r="NSS13" s="513"/>
      <c r="NST13" s="513"/>
      <c r="NSU13" s="513"/>
      <c r="NSV13" s="513"/>
      <c r="NSW13" s="513"/>
      <c r="NSX13" s="513"/>
      <c r="NSY13" s="513"/>
      <c r="NSZ13" s="513"/>
      <c r="NTA13" s="513"/>
      <c r="NTB13" s="513"/>
      <c r="NTC13" s="513"/>
      <c r="NTD13" s="513"/>
      <c r="NTE13" s="513"/>
      <c r="NTF13" s="513"/>
      <c r="NTG13" s="513"/>
      <c r="NTH13" s="513"/>
      <c r="NTI13" s="513"/>
      <c r="NTJ13" s="513"/>
      <c r="NTK13" s="513"/>
      <c r="NTL13" s="513"/>
      <c r="NTM13" s="513"/>
      <c r="NTN13" s="513"/>
      <c r="NTO13" s="513"/>
      <c r="NTP13" s="513"/>
      <c r="NTQ13" s="513"/>
      <c r="NTR13" s="513"/>
      <c r="NTS13" s="513"/>
      <c r="NTT13" s="513"/>
      <c r="NTU13" s="513"/>
      <c r="NTV13" s="513"/>
      <c r="NTW13" s="513"/>
      <c r="NTX13" s="513"/>
      <c r="NTY13" s="513"/>
      <c r="NTZ13" s="513"/>
      <c r="NUA13" s="513"/>
      <c r="NUB13" s="513"/>
      <c r="NUC13" s="513"/>
      <c r="NUD13" s="513"/>
      <c r="NUE13" s="513"/>
      <c r="NUF13" s="513"/>
      <c r="NUG13" s="513"/>
      <c r="NUH13" s="513"/>
      <c r="NUI13" s="513"/>
      <c r="NUJ13" s="513"/>
      <c r="NUK13" s="513"/>
      <c r="NUL13" s="513"/>
      <c r="NUM13" s="513"/>
      <c r="NUN13" s="513"/>
      <c r="NUO13" s="513"/>
      <c r="NUP13" s="513"/>
      <c r="NUQ13" s="513"/>
      <c r="NUR13" s="513"/>
      <c r="NUS13" s="513"/>
      <c r="NUT13" s="513"/>
      <c r="NUU13" s="513"/>
      <c r="NUV13" s="513"/>
      <c r="NUW13" s="513"/>
      <c r="NUX13" s="513"/>
      <c r="NUY13" s="513"/>
      <c r="NUZ13" s="513"/>
      <c r="NVA13" s="513"/>
      <c r="NVB13" s="513"/>
      <c r="NVC13" s="513"/>
      <c r="NVD13" s="513"/>
      <c r="NVE13" s="513"/>
      <c r="NVF13" s="513"/>
      <c r="NVG13" s="513"/>
      <c r="NVH13" s="513"/>
      <c r="NVI13" s="513"/>
      <c r="NVJ13" s="513"/>
      <c r="NVK13" s="513"/>
      <c r="NVL13" s="513"/>
      <c r="NVM13" s="513"/>
      <c r="NVN13" s="513"/>
      <c r="NVO13" s="513"/>
      <c r="NVP13" s="513"/>
      <c r="NVQ13" s="513"/>
      <c r="NVR13" s="513"/>
      <c r="NVS13" s="513"/>
      <c r="NVT13" s="513"/>
      <c r="NVU13" s="513"/>
      <c r="NVV13" s="513"/>
      <c r="NVW13" s="513"/>
      <c r="NVX13" s="513"/>
      <c r="NVY13" s="513"/>
      <c r="NVZ13" s="513"/>
      <c r="NWA13" s="513"/>
      <c r="NWB13" s="513"/>
      <c r="NWC13" s="513"/>
      <c r="NWD13" s="513"/>
      <c r="NWE13" s="513"/>
      <c r="NWF13" s="513"/>
      <c r="NWG13" s="513"/>
      <c r="NWH13" s="513"/>
      <c r="NWI13" s="513"/>
      <c r="NWJ13" s="513"/>
      <c r="NWK13" s="513"/>
      <c r="NWL13" s="513"/>
      <c r="NWM13" s="513"/>
      <c r="NWN13" s="513"/>
      <c r="NWO13" s="513"/>
      <c r="NWP13" s="513"/>
      <c r="NWQ13" s="513"/>
      <c r="NWR13" s="513"/>
      <c r="NWS13" s="513"/>
      <c r="NWT13" s="513"/>
      <c r="NWU13" s="513"/>
      <c r="NWV13" s="513"/>
      <c r="NWW13" s="513"/>
      <c r="NWX13" s="513"/>
      <c r="NWY13" s="513"/>
      <c r="NWZ13" s="513"/>
      <c r="NXA13" s="513"/>
      <c r="NXB13" s="513"/>
      <c r="NXC13" s="513"/>
      <c r="NXD13" s="513"/>
      <c r="NXE13" s="513"/>
      <c r="NXF13" s="513"/>
      <c r="NXG13" s="513"/>
      <c r="NXH13" s="513"/>
      <c r="NXI13" s="513"/>
      <c r="NXJ13" s="513"/>
      <c r="NXK13" s="513"/>
      <c r="NXL13" s="513"/>
      <c r="NXM13" s="513"/>
      <c r="NXN13" s="513"/>
      <c r="NXO13" s="513"/>
      <c r="NXP13" s="513"/>
      <c r="NXQ13" s="513"/>
      <c r="NXR13" s="513"/>
      <c r="NXS13" s="513"/>
      <c r="NXT13" s="513"/>
      <c r="NXU13" s="513"/>
      <c r="NXV13" s="513"/>
      <c r="NXW13" s="513"/>
      <c r="NXX13" s="513"/>
      <c r="NXY13" s="513"/>
      <c r="NXZ13" s="513"/>
      <c r="NYA13" s="513"/>
      <c r="NYB13" s="513"/>
      <c r="NYC13" s="513"/>
      <c r="NYD13" s="513"/>
      <c r="NYE13" s="513"/>
      <c r="NYF13" s="513"/>
      <c r="NYG13" s="513"/>
      <c r="NYH13" s="513"/>
      <c r="NYI13" s="513"/>
      <c r="NYJ13" s="513"/>
      <c r="NYK13" s="513"/>
      <c r="NYL13" s="513"/>
      <c r="NYM13" s="513"/>
      <c r="NYN13" s="513"/>
      <c r="NYO13" s="513"/>
      <c r="NYP13" s="513"/>
      <c r="NYQ13" s="513"/>
      <c r="NYR13" s="513"/>
      <c r="NYS13" s="513"/>
      <c r="NYT13" s="513"/>
      <c r="NYU13" s="513"/>
      <c r="NYV13" s="513"/>
      <c r="NYW13" s="513"/>
      <c r="NYX13" s="513"/>
      <c r="NYY13" s="513"/>
      <c r="NYZ13" s="513"/>
      <c r="NZA13" s="513"/>
      <c r="NZB13" s="513"/>
      <c r="NZC13" s="513"/>
      <c r="NZD13" s="513"/>
      <c r="NZE13" s="513"/>
      <c r="NZF13" s="513"/>
      <c r="NZG13" s="513"/>
      <c r="NZH13" s="513"/>
      <c r="NZI13" s="513"/>
      <c r="NZJ13" s="513"/>
      <c r="NZK13" s="513"/>
      <c r="NZL13" s="513"/>
      <c r="NZM13" s="513"/>
      <c r="NZN13" s="513"/>
      <c r="NZO13" s="513"/>
      <c r="NZP13" s="513"/>
      <c r="NZQ13" s="513"/>
      <c r="NZR13" s="513"/>
      <c r="NZS13" s="513"/>
      <c r="NZT13" s="513"/>
      <c r="NZU13" s="513"/>
      <c r="NZV13" s="513"/>
      <c r="NZW13" s="513"/>
      <c r="NZX13" s="513"/>
      <c r="NZY13" s="513"/>
      <c r="NZZ13" s="513"/>
      <c r="OAA13" s="513"/>
      <c r="OAB13" s="513"/>
      <c r="OAC13" s="513"/>
      <c r="OAD13" s="513"/>
      <c r="OAE13" s="513"/>
      <c r="OAF13" s="513"/>
      <c r="OAG13" s="513"/>
      <c r="OAH13" s="513"/>
      <c r="OAI13" s="513"/>
      <c r="OAJ13" s="513"/>
      <c r="OAK13" s="513"/>
      <c r="OAL13" s="513"/>
      <c r="OAM13" s="513"/>
      <c r="OAN13" s="513"/>
      <c r="OAO13" s="513"/>
      <c r="OAP13" s="513"/>
      <c r="OAQ13" s="513"/>
      <c r="OAR13" s="513"/>
      <c r="OAS13" s="513"/>
      <c r="OAT13" s="513"/>
      <c r="OAU13" s="513"/>
      <c r="OAV13" s="513"/>
      <c r="OAW13" s="513"/>
      <c r="OAX13" s="513"/>
      <c r="OAY13" s="513"/>
      <c r="OAZ13" s="513"/>
      <c r="OBA13" s="513"/>
      <c r="OBB13" s="513"/>
      <c r="OBC13" s="513"/>
      <c r="OBD13" s="513"/>
      <c r="OBE13" s="513"/>
      <c r="OBF13" s="513"/>
      <c r="OBG13" s="513"/>
      <c r="OBH13" s="513"/>
      <c r="OBI13" s="513"/>
      <c r="OBJ13" s="513"/>
      <c r="OBK13" s="513"/>
      <c r="OBL13" s="513"/>
      <c r="OBM13" s="513"/>
      <c r="OBN13" s="513"/>
      <c r="OBO13" s="513"/>
      <c r="OBP13" s="513"/>
      <c r="OBQ13" s="513"/>
      <c r="OBR13" s="513"/>
      <c r="OBS13" s="513"/>
      <c r="OBT13" s="513"/>
      <c r="OBU13" s="513"/>
      <c r="OBV13" s="513"/>
      <c r="OBW13" s="513"/>
      <c r="OBX13" s="513"/>
      <c r="OBY13" s="513"/>
      <c r="OBZ13" s="513"/>
      <c r="OCA13" s="513"/>
      <c r="OCB13" s="513"/>
      <c r="OCC13" s="513"/>
      <c r="OCD13" s="513"/>
      <c r="OCE13" s="513"/>
      <c r="OCF13" s="513"/>
      <c r="OCG13" s="513"/>
      <c r="OCH13" s="513"/>
      <c r="OCI13" s="513"/>
      <c r="OCJ13" s="513"/>
      <c r="OCK13" s="513"/>
      <c r="OCL13" s="513"/>
      <c r="OCM13" s="513"/>
      <c r="OCN13" s="513"/>
      <c r="OCO13" s="513"/>
      <c r="OCP13" s="513"/>
      <c r="OCQ13" s="513"/>
      <c r="OCR13" s="513"/>
      <c r="OCS13" s="513"/>
      <c r="OCT13" s="513"/>
      <c r="OCU13" s="513"/>
      <c r="OCV13" s="513"/>
      <c r="OCW13" s="513"/>
      <c r="OCX13" s="513"/>
      <c r="OCY13" s="513"/>
      <c r="OCZ13" s="513"/>
      <c r="ODA13" s="513"/>
      <c r="ODB13" s="513"/>
      <c r="ODC13" s="513"/>
      <c r="ODD13" s="513"/>
      <c r="ODE13" s="513"/>
      <c r="ODF13" s="513"/>
      <c r="ODG13" s="513"/>
      <c r="ODH13" s="513"/>
      <c r="ODI13" s="513"/>
      <c r="ODJ13" s="513"/>
      <c r="ODK13" s="513"/>
      <c r="ODL13" s="513"/>
      <c r="ODM13" s="513"/>
      <c r="ODN13" s="513"/>
      <c r="ODO13" s="513"/>
      <c r="ODP13" s="513"/>
      <c r="ODQ13" s="513"/>
      <c r="ODR13" s="513"/>
      <c r="ODS13" s="513"/>
      <c r="ODT13" s="513"/>
      <c r="ODU13" s="513"/>
      <c r="ODV13" s="513"/>
      <c r="ODW13" s="513"/>
      <c r="ODX13" s="513"/>
      <c r="ODY13" s="513"/>
      <c r="ODZ13" s="513"/>
      <c r="OEA13" s="513"/>
      <c r="OEB13" s="513"/>
      <c r="OEC13" s="513"/>
      <c r="OED13" s="513"/>
      <c r="OEE13" s="513"/>
      <c r="OEF13" s="513"/>
      <c r="OEG13" s="513"/>
      <c r="OEH13" s="513"/>
      <c r="OEI13" s="513"/>
      <c r="OEJ13" s="513"/>
      <c r="OEK13" s="513"/>
      <c r="OEL13" s="513"/>
      <c r="OEM13" s="513"/>
      <c r="OEN13" s="513"/>
      <c r="OEO13" s="513"/>
      <c r="OEP13" s="513"/>
      <c r="OEQ13" s="513"/>
      <c r="OER13" s="513"/>
      <c r="OES13" s="513"/>
      <c r="OET13" s="513"/>
      <c r="OEU13" s="513"/>
      <c r="OEV13" s="513"/>
      <c r="OEW13" s="513"/>
      <c r="OEX13" s="513"/>
      <c r="OEY13" s="513"/>
      <c r="OEZ13" s="513"/>
      <c r="OFA13" s="513"/>
      <c r="OFB13" s="513"/>
      <c r="OFC13" s="513"/>
      <c r="OFD13" s="513"/>
      <c r="OFE13" s="513"/>
      <c r="OFF13" s="513"/>
      <c r="OFG13" s="513"/>
      <c r="OFH13" s="513"/>
      <c r="OFI13" s="513"/>
      <c r="OFJ13" s="513"/>
      <c r="OFK13" s="513"/>
      <c r="OFL13" s="513"/>
      <c r="OFM13" s="513"/>
      <c r="OFN13" s="513"/>
      <c r="OFO13" s="513"/>
      <c r="OFP13" s="513"/>
      <c r="OFQ13" s="513"/>
      <c r="OFR13" s="513"/>
      <c r="OFS13" s="513"/>
      <c r="OFT13" s="513"/>
      <c r="OFU13" s="513"/>
      <c r="OFV13" s="513"/>
      <c r="OFW13" s="513"/>
      <c r="OFX13" s="513"/>
      <c r="OFY13" s="513"/>
      <c r="OFZ13" s="513"/>
      <c r="OGA13" s="513"/>
      <c r="OGB13" s="513"/>
      <c r="OGC13" s="513"/>
      <c r="OGD13" s="513"/>
      <c r="OGE13" s="513"/>
      <c r="OGF13" s="513"/>
      <c r="OGG13" s="513"/>
      <c r="OGH13" s="513"/>
      <c r="OGI13" s="513"/>
      <c r="OGJ13" s="513"/>
      <c r="OGK13" s="513"/>
      <c r="OGL13" s="513"/>
      <c r="OGM13" s="513"/>
      <c r="OGN13" s="513"/>
      <c r="OGO13" s="513"/>
      <c r="OGP13" s="513"/>
      <c r="OGQ13" s="513"/>
      <c r="OGR13" s="513"/>
      <c r="OGS13" s="513"/>
      <c r="OGT13" s="513"/>
      <c r="OGU13" s="513"/>
      <c r="OGV13" s="513"/>
      <c r="OGW13" s="513"/>
      <c r="OGX13" s="513"/>
      <c r="OGY13" s="513"/>
      <c r="OGZ13" s="513"/>
      <c r="OHA13" s="513"/>
      <c r="OHB13" s="513"/>
      <c r="OHC13" s="513"/>
      <c r="OHD13" s="513"/>
      <c r="OHE13" s="513"/>
      <c r="OHF13" s="513"/>
      <c r="OHG13" s="513"/>
      <c r="OHH13" s="513"/>
      <c r="OHI13" s="513"/>
      <c r="OHJ13" s="513"/>
      <c r="OHK13" s="513"/>
      <c r="OHL13" s="513"/>
      <c r="OHM13" s="513"/>
      <c r="OHN13" s="513"/>
      <c r="OHO13" s="513"/>
      <c r="OHP13" s="513"/>
      <c r="OHQ13" s="513"/>
      <c r="OHR13" s="513"/>
      <c r="OHS13" s="513"/>
      <c r="OHT13" s="513"/>
      <c r="OHU13" s="513"/>
      <c r="OHV13" s="513"/>
      <c r="OHW13" s="513"/>
      <c r="OHX13" s="513"/>
      <c r="OHY13" s="513"/>
      <c r="OHZ13" s="513"/>
      <c r="OIA13" s="513"/>
      <c r="OIB13" s="513"/>
      <c r="OIC13" s="513"/>
      <c r="OID13" s="513"/>
      <c r="OIE13" s="513"/>
      <c r="OIF13" s="513"/>
      <c r="OIG13" s="513"/>
      <c r="OIH13" s="513"/>
      <c r="OII13" s="513"/>
      <c r="OIJ13" s="513"/>
      <c r="OIK13" s="513"/>
      <c r="OIL13" s="513"/>
      <c r="OIM13" s="513"/>
      <c r="OIN13" s="513"/>
      <c r="OIO13" s="513"/>
      <c r="OIP13" s="513"/>
      <c r="OIQ13" s="513"/>
      <c r="OIR13" s="513"/>
      <c r="OIS13" s="513"/>
      <c r="OIT13" s="513"/>
      <c r="OIU13" s="513"/>
      <c r="OIV13" s="513"/>
      <c r="OIW13" s="513"/>
      <c r="OIX13" s="513"/>
      <c r="OIY13" s="513"/>
      <c r="OIZ13" s="513"/>
      <c r="OJA13" s="513"/>
      <c r="OJB13" s="513"/>
      <c r="OJC13" s="513"/>
      <c r="OJD13" s="513"/>
      <c r="OJE13" s="513"/>
      <c r="OJF13" s="513"/>
      <c r="OJG13" s="513"/>
      <c r="OJH13" s="513"/>
      <c r="OJI13" s="513"/>
      <c r="OJJ13" s="513"/>
      <c r="OJK13" s="513"/>
      <c r="OJL13" s="513"/>
      <c r="OJM13" s="513"/>
      <c r="OJN13" s="513"/>
      <c r="OJO13" s="513"/>
      <c r="OJP13" s="513"/>
      <c r="OJQ13" s="513"/>
      <c r="OJR13" s="513"/>
      <c r="OJS13" s="513"/>
      <c r="OJT13" s="513"/>
      <c r="OJU13" s="513"/>
      <c r="OJV13" s="513"/>
      <c r="OJW13" s="513"/>
      <c r="OJX13" s="513"/>
      <c r="OJY13" s="513"/>
      <c r="OJZ13" s="513"/>
      <c r="OKA13" s="513"/>
      <c r="OKB13" s="513"/>
      <c r="OKC13" s="513"/>
      <c r="OKD13" s="513"/>
      <c r="OKE13" s="513"/>
      <c r="OKF13" s="513"/>
      <c r="OKG13" s="513"/>
      <c r="OKH13" s="513"/>
      <c r="OKI13" s="513"/>
      <c r="OKJ13" s="513"/>
      <c r="OKK13" s="513"/>
      <c r="OKL13" s="513"/>
      <c r="OKM13" s="513"/>
      <c r="OKN13" s="513"/>
      <c r="OKO13" s="513"/>
      <c r="OKP13" s="513"/>
      <c r="OKQ13" s="513"/>
      <c r="OKR13" s="513"/>
      <c r="OKS13" s="513"/>
      <c r="OKT13" s="513"/>
      <c r="OKU13" s="513"/>
      <c r="OKV13" s="513"/>
      <c r="OKW13" s="513"/>
      <c r="OKX13" s="513"/>
      <c r="OKY13" s="513"/>
      <c r="OKZ13" s="513"/>
      <c r="OLA13" s="513"/>
      <c r="OLB13" s="513"/>
      <c r="OLC13" s="513"/>
      <c r="OLD13" s="513"/>
      <c r="OLE13" s="513"/>
      <c r="OLF13" s="513"/>
      <c r="OLG13" s="513"/>
      <c r="OLH13" s="513"/>
      <c r="OLI13" s="513"/>
      <c r="OLJ13" s="513"/>
      <c r="OLK13" s="513"/>
      <c r="OLL13" s="513"/>
      <c r="OLM13" s="513"/>
      <c r="OLN13" s="513"/>
      <c r="OLO13" s="513"/>
      <c r="OLP13" s="513"/>
      <c r="OLQ13" s="513"/>
      <c r="OLR13" s="513"/>
      <c r="OLS13" s="513"/>
      <c r="OLT13" s="513"/>
      <c r="OLU13" s="513"/>
      <c r="OLV13" s="513"/>
      <c r="OLW13" s="513"/>
      <c r="OLX13" s="513"/>
      <c r="OLY13" s="513"/>
      <c r="OLZ13" s="513"/>
      <c r="OMA13" s="513"/>
      <c r="OMB13" s="513"/>
      <c r="OMC13" s="513"/>
      <c r="OMD13" s="513"/>
      <c r="OME13" s="513"/>
      <c r="OMF13" s="513"/>
      <c r="OMG13" s="513"/>
      <c r="OMH13" s="513"/>
      <c r="OMI13" s="513"/>
      <c r="OMJ13" s="513"/>
      <c r="OMK13" s="513"/>
      <c r="OML13" s="513"/>
      <c r="OMM13" s="513"/>
      <c r="OMN13" s="513"/>
      <c r="OMO13" s="513"/>
      <c r="OMP13" s="513"/>
      <c r="OMQ13" s="513"/>
      <c r="OMR13" s="513"/>
      <c r="OMS13" s="513"/>
      <c r="OMT13" s="513"/>
      <c r="OMU13" s="513"/>
      <c r="OMV13" s="513"/>
      <c r="OMW13" s="513"/>
      <c r="OMX13" s="513"/>
      <c r="OMY13" s="513"/>
      <c r="OMZ13" s="513"/>
      <c r="ONA13" s="513"/>
      <c r="ONB13" s="513"/>
      <c r="ONC13" s="513"/>
      <c r="OND13" s="513"/>
      <c r="ONE13" s="513"/>
      <c r="ONF13" s="513"/>
      <c r="ONG13" s="513"/>
      <c r="ONH13" s="513"/>
      <c r="ONI13" s="513"/>
      <c r="ONJ13" s="513"/>
      <c r="ONK13" s="513"/>
      <c r="ONL13" s="513"/>
      <c r="ONM13" s="513"/>
      <c r="ONN13" s="513"/>
      <c r="ONO13" s="513"/>
      <c r="ONP13" s="513"/>
      <c r="ONQ13" s="513"/>
      <c r="ONR13" s="513"/>
      <c r="ONS13" s="513"/>
      <c r="ONT13" s="513"/>
      <c r="ONU13" s="513"/>
      <c r="ONV13" s="513"/>
      <c r="ONW13" s="513"/>
      <c r="ONX13" s="513"/>
      <c r="ONY13" s="513"/>
      <c r="ONZ13" s="513"/>
      <c r="OOA13" s="513"/>
      <c r="OOB13" s="513"/>
      <c r="OOC13" s="513"/>
      <c r="OOD13" s="513"/>
      <c r="OOE13" s="513"/>
      <c r="OOF13" s="513"/>
      <c r="OOG13" s="513"/>
      <c r="OOH13" s="513"/>
      <c r="OOI13" s="513"/>
      <c r="OOJ13" s="513"/>
      <c r="OOK13" s="513"/>
      <c r="OOL13" s="513"/>
      <c r="OOM13" s="513"/>
      <c r="OON13" s="513"/>
      <c r="OOO13" s="513"/>
      <c r="OOP13" s="513"/>
      <c r="OOQ13" s="513"/>
      <c r="OOR13" s="513"/>
      <c r="OOS13" s="513"/>
      <c r="OOT13" s="513"/>
      <c r="OOU13" s="513"/>
      <c r="OOV13" s="513"/>
      <c r="OOW13" s="513"/>
      <c r="OOX13" s="513"/>
      <c r="OOY13" s="513"/>
      <c r="OOZ13" s="513"/>
      <c r="OPA13" s="513"/>
      <c r="OPB13" s="513"/>
      <c r="OPC13" s="513"/>
      <c r="OPD13" s="513"/>
      <c r="OPE13" s="513"/>
      <c r="OPF13" s="513"/>
      <c r="OPG13" s="513"/>
      <c r="OPH13" s="513"/>
      <c r="OPI13" s="513"/>
      <c r="OPJ13" s="513"/>
      <c r="OPK13" s="513"/>
      <c r="OPL13" s="513"/>
      <c r="OPM13" s="513"/>
      <c r="OPN13" s="513"/>
      <c r="OPO13" s="513"/>
      <c r="OPP13" s="513"/>
      <c r="OPQ13" s="513"/>
      <c r="OPR13" s="513"/>
      <c r="OPS13" s="513"/>
      <c r="OPT13" s="513"/>
      <c r="OPU13" s="513"/>
      <c r="OPV13" s="513"/>
      <c r="OPW13" s="513"/>
      <c r="OPX13" s="513"/>
      <c r="OPY13" s="513"/>
      <c r="OPZ13" s="513"/>
      <c r="OQA13" s="513"/>
      <c r="OQB13" s="513"/>
      <c r="OQC13" s="513"/>
      <c r="OQD13" s="513"/>
      <c r="OQE13" s="513"/>
      <c r="OQF13" s="513"/>
      <c r="OQG13" s="513"/>
      <c r="OQH13" s="513"/>
      <c r="OQI13" s="513"/>
      <c r="OQJ13" s="513"/>
      <c r="OQK13" s="513"/>
      <c r="OQL13" s="513"/>
      <c r="OQM13" s="513"/>
      <c r="OQN13" s="513"/>
      <c r="OQO13" s="513"/>
      <c r="OQP13" s="513"/>
      <c r="OQQ13" s="513"/>
      <c r="OQR13" s="513"/>
      <c r="OQS13" s="513"/>
      <c r="OQT13" s="513"/>
      <c r="OQU13" s="513"/>
      <c r="OQV13" s="513"/>
      <c r="OQW13" s="513"/>
      <c r="OQX13" s="513"/>
      <c r="OQY13" s="513"/>
      <c r="OQZ13" s="513"/>
      <c r="ORA13" s="513"/>
      <c r="ORB13" s="513"/>
      <c r="ORC13" s="513"/>
      <c r="ORD13" s="513"/>
      <c r="ORE13" s="513"/>
      <c r="ORF13" s="513"/>
      <c r="ORG13" s="513"/>
      <c r="ORH13" s="513"/>
      <c r="ORI13" s="513"/>
      <c r="ORJ13" s="513"/>
      <c r="ORK13" s="513"/>
      <c r="ORL13" s="513"/>
      <c r="ORM13" s="513"/>
      <c r="ORN13" s="513"/>
      <c r="ORO13" s="513"/>
      <c r="ORP13" s="513"/>
      <c r="ORQ13" s="513"/>
      <c r="ORR13" s="513"/>
      <c r="ORS13" s="513"/>
      <c r="ORT13" s="513"/>
      <c r="ORU13" s="513"/>
      <c r="ORV13" s="513"/>
      <c r="ORW13" s="513"/>
      <c r="ORX13" s="513"/>
      <c r="ORY13" s="513"/>
      <c r="ORZ13" s="513"/>
      <c r="OSA13" s="513"/>
      <c r="OSB13" s="513"/>
      <c r="OSC13" s="513"/>
      <c r="OSD13" s="513"/>
      <c r="OSE13" s="513"/>
      <c r="OSF13" s="513"/>
      <c r="OSG13" s="513"/>
      <c r="OSH13" s="513"/>
      <c r="OSI13" s="513"/>
      <c r="OSJ13" s="513"/>
      <c r="OSK13" s="513"/>
      <c r="OSL13" s="513"/>
      <c r="OSM13" s="513"/>
      <c r="OSN13" s="513"/>
      <c r="OSO13" s="513"/>
      <c r="OSP13" s="513"/>
      <c r="OSQ13" s="513"/>
      <c r="OSR13" s="513"/>
      <c r="OSS13" s="513"/>
      <c r="OST13" s="513"/>
      <c r="OSU13" s="513"/>
      <c r="OSV13" s="513"/>
      <c r="OSW13" s="513"/>
      <c r="OSX13" s="513"/>
      <c r="OSY13" s="513"/>
      <c r="OSZ13" s="513"/>
      <c r="OTA13" s="513"/>
      <c r="OTB13" s="513"/>
      <c r="OTC13" s="513"/>
      <c r="OTD13" s="513"/>
      <c r="OTE13" s="513"/>
      <c r="OTF13" s="513"/>
      <c r="OTG13" s="513"/>
      <c r="OTH13" s="513"/>
      <c r="OTI13" s="513"/>
      <c r="OTJ13" s="513"/>
      <c r="OTK13" s="513"/>
      <c r="OTL13" s="513"/>
      <c r="OTM13" s="513"/>
      <c r="OTN13" s="513"/>
      <c r="OTO13" s="513"/>
      <c r="OTP13" s="513"/>
      <c r="OTQ13" s="513"/>
      <c r="OTR13" s="513"/>
      <c r="OTS13" s="513"/>
      <c r="OTT13" s="513"/>
      <c r="OTU13" s="513"/>
      <c r="OTV13" s="513"/>
      <c r="OTW13" s="513"/>
      <c r="OTX13" s="513"/>
      <c r="OTY13" s="513"/>
      <c r="OTZ13" s="513"/>
      <c r="OUA13" s="513"/>
      <c r="OUB13" s="513"/>
      <c r="OUC13" s="513"/>
      <c r="OUD13" s="513"/>
      <c r="OUE13" s="513"/>
      <c r="OUF13" s="513"/>
      <c r="OUG13" s="513"/>
      <c r="OUH13" s="513"/>
      <c r="OUI13" s="513"/>
      <c r="OUJ13" s="513"/>
      <c r="OUK13" s="513"/>
      <c r="OUL13" s="513"/>
      <c r="OUM13" s="513"/>
      <c r="OUN13" s="513"/>
      <c r="OUO13" s="513"/>
      <c r="OUP13" s="513"/>
      <c r="OUQ13" s="513"/>
      <c r="OUR13" s="513"/>
      <c r="OUS13" s="513"/>
      <c r="OUT13" s="513"/>
      <c r="OUU13" s="513"/>
      <c r="OUV13" s="513"/>
      <c r="OUW13" s="513"/>
      <c r="OUX13" s="513"/>
      <c r="OUY13" s="513"/>
      <c r="OUZ13" s="513"/>
      <c r="OVA13" s="513"/>
      <c r="OVB13" s="513"/>
      <c r="OVC13" s="513"/>
      <c r="OVD13" s="513"/>
      <c r="OVE13" s="513"/>
      <c r="OVF13" s="513"/>
      <c r="OVG13" s="513"/>
      <c r="OVH13" s="513"/>
      <c r="OVI13" s="513"/>
      <c r="OVJ13" s="513"/>
      <c r="OVK13" s="513"/>
      <c r="OVL13" s="513"/>
      <c r="OVM13" s="513"/>
      <c r="OVN13" s="513"/>
      <c r="OVO13" s="513"/>
      <c r="OVP13" s="513"/>
      <c r="OVQ13" s="513"/>
      <c r="OVR13" s="513"/>
      <c r="OVS13" s="513"/>
      <c r="OVT13" s="513"/>
      <c r="OVU13" s="513"/>
      <c r="OVV13" s="513"/>
      <c r="OVW13" s="513"/>
      <c r="OVX13" s="513"/>
      <c r="OVY13" s="513"/>
      <c r="OVZ13" s="513"/>
      <c r="OWA13" s="513"/>
      <c r="OWB13" s="513"/>
      <c r="OWC13" s="513"/>
      <c r="OWD13" s="513"/>
      <c r="OWE13" s="513"/>
      <c r="OWF13" s="513"/>
      <c r="OWG13" s="513"/>
      <c r="OWH13" s="513"/>
      <c r="OWI13" s="513"/>
      <c r="OWJ13" s="513"/>
      <c r="OWK13" s="513"/>
      <c r="OWL13" s="513"/>
      <c r="OWM13" s="513"/>
      <c r="OWN13" s="513"/>
      <c r="OWO13" s="513"/>
      <c r="OWP13" s="513"/>
      <c r="OWQ13" s="513"/>
      <c r="OWR13" s="513"/>
      <c r="OWS13" s="513"/>
      <c r="OWT13" s="513"/>
      <c r="OWU13" s="513"/>
      <c r="OWV13" s="513"/>
      <c r="OWW13" s="513"/>
      <c r="OWX13" s="513"/>
      <c r="OWY13" s="513"/>
      <c r="OWZ13" s="513"/>
      <c r="OXA13" s="513"/>
      <c r="OXB13" s="513"/>
      <c r="OXC13" s="513"/>
      <c r="OXD13" s="513"/>
      <c r="OXE13" s="513"/>
      <c r="OXF13" s="513"/>
      <c r="OXG13" s="513"/>
      <c r="OXH13" s="513"/>
      <c r="OXI13" s="513"/>
      <c r="OXJ13" s="513"/>
      <c r="OXK13" s="513"/>
      <c r="OXL13" s="513"/>
      <c r="OXM13" s="513"/>
      <c r="OXN13" s="513"/>
      <c r="OXO13" s="513"/>
      <c r="OXP13" s="513"/>
      <c r="OXQ13" s="513"/>
      <c r="OXR13" s="513"/>
      <c r="OXS13" s="513"/>
      <c r="OXT13" s="513"/>
      <c r="OXU13" s="513"/>
      <c r="OXV13" s="513"/>
      <c r="OXW13" s="513"/>
      <c r="OXX13" s="513"/>
      <c r="OXY13" s="513"/>
      <c r="OXZ13" s="513"/>
      <c r="OYA13" s="513"/>
      <c r="OYB13" s="513"/>
      <c r="OYC13" s="513"/>
      <c r="OYD13" s="513"/>
      <c r="OYE13" s="513"/>
      <c r="OYF13" s="513"/>
      <c r="OYG13" s="513"/>
      <c r="OYH13" s="513"/>
      <c r="OYI13" s="513"/>
      <c r="OYJ13" s="513"/>
      <c r="OYK13" s="513"/>
      <c r="OYL13" s="513"/>
      <c r="OYM13" s="513"/>
      <c r="OYN13" s="513"/>
      <c r="OYO13" s="513"/>
      <c r="OYP13" s="513"/>
      <c r="OYQ13" s="513"/>
      <c r="OYR13" s="513"/>
      <c r="OYS13" s="513"/>
      <c r="OYT13" s="513"/>
      <c r="OYU13" s="513"/>
      <c r="OYV13" s="513"/>
      <c r="OYW13" s="513"/>
      <c r="OYX13" s="513"/>
      <c r="OYY13" s="513"/>
      <c r="OYZ13" s="513"/>
      <c r="OZA13" s="513"/>
      <c r="OZB13" s="513"/>
      <c r="OZC13" s="513"/>
      <c r="OZD13" s="513"/>
      <c r="OZE13" s="513"/>
      <c r="OZF13" s="513"/>
      <c r="OZG13" s="513"/>
      <c r="OZH13" s="513"/>
      <c r="OZI13" s="513"/>
      <c r="OZJ13" s="513"/>
      <c r="OZK13" s="513"/>
      <c r="OZL13" s="513"/>
      <c r="OZM13" s="513"/>
      <c r="OZN13" s="513"/>
      <c r="OZO13" s="513"/>
      <c r="OZP13" s="513"/>
      <c r="OZQ13" s="513"/>
      <c r="OZR13" s="513"/>
      <c r="OZS13" s="513"/>
      <c r="OZT13" s="513"/>
      <c r="OZU13" s="513"/>
      <c r="OZV13" s="513"/>
      <c r="OZW13" s="513"/>
      <c r="OZX13" s="513"/>
      <c r="OZY13" s="513"/>
      <c r="OZZ13" s="513"/>
      <c r="PAA13" s="513"/>
      <c r="PAB13" s="513"/>
      <c r="PAC13" s="513"/>
      <c r="PAD13" s="513"/>
      <c r="PAE13" s="513"/>
      <c r="PAF13" s="513"/>
      <c r="PAG13" s="513"/>
      <c r="PAH13" s="513"/>
      <c r="PAI13" s="513"/>
      <c r="PAJ13" s="513"/>
      <c r="PAK13" s="513"/>
      <c r="PAL13" s="513"/>
      <c r="PAM13" s="513"/>
      <c r="PAN13" s="513"/>
      <c r="PAO13" s="513"/>
      <c r="PAP13" s="513"/>
      <c r="PAQ13" s="513"/>
      <c r="PAR13" s="513"/>
      <c r="PAS13" s="513"/>
      <c r="PAT13" s="513"/>
      <c r="PAU13" s="513"/>
      <c r="PAV13" s="513"/>
      <c r="PAW13" s="513"/>
      <c r="PAX13" s="513"/>
      <c r="PAY13" s="513"/>
      <c r="PAZ13" s="513"/>
      <c r="PBA13" s="513"/>
      <c r="PBB13" s="513"/>
      <c r="PBC13" s="513"/>
      <c r="PBD13" s="513"/>
      <c r="PBE13" s="513"/>
      <c r="PBF13" s="513"/>
      <c r="PBG13" s="513"/>
      <c r="PBH13" s="513"/>
      <c r="PBI13" s="513"/>
      <c r="PBJ13" s="513"/>
      <c r="PBK13" s="513"/>
      <c r="PBL13" s="513"/>
      <c r="PBM13" s="513"/>
      <c r="PBN13" s="513"/>
      <c r="PBO13" s="513"/>
      <c r="PBP13" s="513"/>
      <c r="PBQ13" s="513"/>
      <c r="PBR13" s="513"/>
      <c r="PBS13" s="513"/>
      <c r="PBT13" s="513"/>
      <c r="PBU13" s="513"/>
      <c r="PBV13" s="513"/>
      <c r="PBW13" s="513"/>
      <c r="PBX13" s="513"/>
      <c r="PBY13" s="513"/>
      <c r="PBZ13" s="513"/>
      <c r="PCA13" s="513"/>
      <c r="PCB13" s="513"/>
      <c r="PCC13" s="513"/>
      <c r="PCD13" s="513"/>
      <c r="PCE13" s="513"/>
      <c r="PCF13" s="513"/>
      <c r="PCG13" s="513"/>
      <c r="PCH13" s="513"/>
      <c r="PCI13" s="513"/>
      <c r="PCJ13" s="513"/>
      <c r="PCK13" s="513"/>
      <c r="PCL13" s="513"/>
      <c r="PCM13" s="513"/>
      <c r="PCN13" s="513"/>
      <c r="PCO13" s="513"/>
      <c r="PCP13" s="513"/>
      <c r="PCQ13" s="513"/>
      <c r="PCR13" s="513"/>
      <c r="PCS13" s="513"/>
      <c r="PCT13" s="513"/>
      <c r="PCU13" s="513"/>
      <c r="PCV13" s="513"/>
      <c r="PCW13" s="513"/>
      <c r="PCX13" s="513"/>
      <c r="PCY13" s="513"/>
      <c r="PCZ13" s="513"/>
      <c r="PDA13" s="513"/>
      <c r="PDB13" s="513"/>
      <c r="PDC13" s="513"/>
      <c r="PDD13" s="513"/>
      <c r="PDE13" s="513"/>
      <c r="PDF13" s="513"/>
      <c r="PDG13" s="513"/>
      <c r="PDH13" s="513"/>
      <c r="PDI13" s="513"/>
      <c r="PDJ13" s="513"/>
      <c r="PDK13" s="513"/>
      <c r="PDL13" s="513"/>
      <c r="PDM13" s="513"/>
      <c r="PDN13" s="513"/>
      <c r="PDO13" s="513"/>
      <c r="PDP13" s="513"/>
      <c r="PDQ13" s="513"/>
      <c r="PDR13" s="513"/>
      <c r="PDS13" s="513"/>
      <c r="PDT13" s="513"/>
      <c r="PDU13" s="513"/>
      <c r="PDV13" s="513"/>
      <c r="PDW13" s="513"/>
      <c r="PDX13" s="513"/>
      <c r="PDY13" s="513"/>
      <c r="PDZ13" s="513"/>
      <c r="PEA13" s="513"/>
      <c r="PEB13" s="513"/>
      <c r="PEC13" s="513"/>
      <c r="PED13" s="513"/>
      <c r="PEE13" s="513"/>
      <c r="PEF13" s="513"/>
      <c r="PEG13" s="513"/>
      <c r="PEH13" s="513"/>
      <c r="PEI13" s="513"/>
      <c r="PEJ13" s="513"/>
      <c r="PEK13" s="513"/>
      <c r="PEL13" s="513"/>
      <c r="PEM13" s="513"/>
      <c r="PEN13" s="513"/>
      <c r="PEO13" s="513"/>
      <c r="PEP13" s="513"/>
      <c r="PEQ13" s="513"/>
      <c r="PER13" s="513"/>
      <c r="PES13" s="513"/>
      <c r="PET13" s="513"/>
      <c r="PEU13" s="513"/>
      <c r="PEV13" s="513"/>
      <c r="PEW13" s="513"/>
      <c r="PEX13" s="513"/>
      <c r="PEY13" s="513"/>
      <c r="PEZ13" s="513"/>
      <c r="PFA13" s="513"/>
      <c r="PFB13" s="513"/>
      <c r="PFC13" s="513"/>
      <c r="PFD13" s="513"/>
      <c r="PFE13" s="513"/>
      <c r="PFF13" s="513"/>
      <c r="PFG13" s="513"/>
      <c r="PFH13" s="513"/>
      <c r="PFI13" s="513"/>
      <c r="PFJ13" s="513"/>
      <c r="PFK13" s="513"/>
      <c r="PFL13" s="513"/>
      <c r="PFM13" s="513"/>
      <c r="PFN13" s="513"/>
      <c r="PFO13" s="513"/>
      <c r="PFP13" s="513"/>
      <c r="PFQ13" s="513"/>
      <c r="PFR13" s="513"/>
      <c r="PFS13" s="513"/>
      <c r="PFT13" s="513"/>
      <c r="PFU13" s="513"/>
      <c r="PFV13" s="513"/>
      <c r="PFW13" s="513"/>
      <c r="PFX13" s="513"/>
      <c r="PFY13" s="513"/>
      <c r="PFZ13" s="513"/>
      <c r="PGA13" s="513"/>
      <c r="PGB13" s="513"/>
      <c r="PGC13" s="513"/>
      <c r="PGD13" s="513"/>
      <c r="PGE13" s="513"/>
      <c r="PGF13" s="513"/>
      <c r="PGG13" s="513"/>
      <c r="PGH13" s="513"/>
      <c r="PGI13" s="513"/>
      <c r="PGJ13" s="513"/>
      <c r="PGK13" s="513"/>
      <c r="PGL13" s="513"/>
      <c r="PGM13" s="513"/>
      <c r="PGN13" s="513"/>
      <c r="PGO13" s="513"/>
      <c r="PGP13" s="513"/>
      <c r="PGQ13" s="513"/>
      <c r="PGR13" s="513"/>
      <c r="PGS13" s="513"/>
      <c r="PGT13" s="513"/>
      <c r="PGU13" s="513"/>
      <c r="PGV13" s="513"/>
      <c r="PGW13" s="513"/>
      <c r="PGX13" s="513"/>
      <c r="PGY13" s="513"/>
      <c r="PGZ13" s="513"/>
      <c r="PHA13" s="513"/>
      <c r="PHB13" s="513"/>
      <c r="PHC13" s="513"/>
      <c r="PHD13" s="513"/>
      <c r="PHE13" s="513"/>
      <c r="PHF13" s="513"/>
      <c r="PHG13" s="513"/>
      <c r="PHH13" s="513"/>
      <c r="PHI13" s="513"/>
      <c r="PHJ13" s="513"/>
      <c r="PHK13" s="513"/>
      <c r="PHL13" s="513"/>
      <c r="PHM13" s="513"/>
      <c r="PHN13" s="513"/>
      <c r="PHO13" s="513"/>
      <c r="PHP13" s="513"/>
      <c r="PHQ13" s="513"/>
      <c r="PHR13" s="513"/>
      <c r="PHS13" s="513"/>
      <c r="PHT13" s="513"/>
      <c r="PHU13" s="513"/>
      <c r="PHV13" s="513"/>
      <c r="PHW13" s="513"/>
      <c r="PHX13" s="513"/>
      <c r="PHY13" s="513"/>
      <c r="PHZ13" s="513"/>
      <c r="PIA13" s="513"/>
      <c r="PIB13" s="513"/>
      <c r="PIC13" s="513"/>
      <c r="PID13" s="513"/>
      <c r="PIE13" s="513"/>
      <c r="PIF13" s="513"/>
      <c r="PIG13" s="513"/>
      <c r="PIH13" s="513"/>
      <c r="PII13" s="513"/>
      <c r="PIJ13" s="513"/>
      <c r="PIK13" s="513"/>
      <c r="PIL13" s="513"/>
      <c r="PIM13" s="513"/>
      <c r="PIN13" s="513"/>
      <c r="PIO13" s="513"/>
      <c r="PIP13" s="513"/>
      <c r="PIQ13" s="513"/>
      <c r="PIR13" s="513"/>
      <c r="PIS13" s="513"/>
      <c r="PIT13" s="513"/>
      <c r="PIU13" s="513"/>
      <c r="PIV13" s="513"/>
      <c r="PIW13" s="513"/>
      <c r="PIX13" s="513"/>
      <c r="PIY13" s="513"/>
      <c r="PIZ13" s="513"/>
      <c r="PJA13" s="513"/>
      <c r="PJB13" s="513"/>
      <c r="PJC13" s="513"/>
      <c r="PJD13" s="513"/>
      <c r="PJE13" s="513"/>
      <c r="PJF13" s="513"/>
      <c r="PJG13" s="513"/>
      <c r="PJH13" s="513"/>
      <c r="PJI13" s="513"/>
      <c r="PJJ13" s="513"/>
      <c r="PJK13" s="513"/>
      <c r="PJL13" s="513"/>
      <c r="PJM13" s="513"/>
      <c r="PJN13" s="513"/>
      <c r="PJO13" s="513"/>
      <c r="PJP13" s="513"/>
      <c r="PJQ13" s="513"/>
      <c r="PJR13" s="513"/>
      <c r="PJS13" s="513"/>
      <c r="PJT13" s="513"/>
      <c r="PJU13" s="513"/>
      <c r="PJV13" s="513"/>
      <c r="PJW13" s="513"/>
      <c r="PJX13" s="513"/>
      <c r="PJY13" s="513"/>
      <c r="PJZ13" s="513"/>
      <c r="PKA13" s="513"/>
      <c r="PKB13" s="513"/>
      <c r="PKC13" s="513"/>
      <c r="PKD13" s="513"/>
      <c r="PKE13" s="513"/>
      <c r="PKF13" s="513"/>
      <c r="PKG13" s="513"/>
      <c r="PKH13" s="513"/>
      <c r="PKI13" s="513"/>
      <c r="PKJ13" s="513"/>
      <c r="PKK13" s="513"/>
      <c r="PKL13" s="513"/>
      <c r="PKM13" s="513"/>
      <c r="PKN13" s="513"/>
      <c r="PKO13" s="513"/>
      <c r="PKP13" s="513"/>
      <c r="PKQ13" s="513"/>
      <c r="PKR13" s="513"/>
      <c r="PKS13" s="513"/>
      <c r="PKT13" s="513"/>
      <c r="PKU13" s="513"/>
      <c r="PKV13" s="513"/>
      <c r="PKW13" s="513"/>
      <c r="PKX13" s="513"/>
      <c r="PKY13" s="513"/>
      <c r="PKZ13" s="513"/>
      <c r="PLA13" s="513"/>
      <c r="PLB13" s="513"/>
      <c r="PLC13" s="513"/>
      <c r="PLD13" s="513"/>
      <c r="PLE13" s="513"/>
      <c r="PLF13" s="513"/>
      <c r="PLG13" s="513"/>
      <c r="PLH13" s="513"/>
      <c r="PLI13" s="513"/>
      <c r="PLJ13" s="513"/>
      <c r="PLK13" s="513"/>
      <c r="PLL13" s="513"/>
      <c r="PLM13" s="513"/>
      <c r="PLN13" s="513"/>
      <c r="PLO13" s="513"/>
      <c r="PLP13" s="513"/>
      <c r="PLQ13" s="513"/>
      <c r="PLR13" s="513"/>
      <c r="PLS13" s="513"/>
      <c r="PLT13" s="513"/>
      <c r="PLU13" s="513"/>
      <c r="PLV13" s="513"/>
      <c r="PLW13" s="513"/>
      <c r="PLX13" s="513"/>
      <c r="PLY13" s="513"/>
      <c r="PLZ13" s="513"/>
      <c r="PMA13" s="513"/>
      <c r="PMB13" s="513"/>
      <c r="PMC13" s="513"/>
      <c r="PMD13" s="513"/>
      <c r="PME13" s="513"/>
      <c r="PMF13" s="513"/>
      <c r="PMG13" s="513"/>
      <c r="PMH13" s="513"/>
      <c r="PMI13" s="513"/>
      <c r="PMJ13" s="513"/>
      <c r="PMK13" s="513"/>
      <c r="PML13" s="513"/>
      <c r="PMM13" s="513"/>
      <c r="PMN13" s="513"/>
      <c r="PMO13" s="513"/>
      <c r="PMP13" s="513"/>
      <c r="PMQ13" s="513"/>
      <c r="PMR13" s="513"/>
      <c r="PMS13" s="513"/>
      <c r="PMT13" s="513"/>
      <c r="PMU13" s="513"/>
      <c r="PMV13" s="513"/>
      <c r="PMW13" s="513"/>
      <c r="PMX13" s="513"/>
      <c r="PMY13" s="513"/>
      <c r="PMZ13" s="513"/>
      <c r="PNA13" s="513"/>
      <c r="PNB13" s="513"/>
      <c r="PNC13" s="513"/>
      <c r="PND13" s="513"/>
      <c r="PNE13" s="513"/>
      <c r="PNF13" s="513"/>
      <c r="PNG13" s="513"/>
      <c r="PNH13" s="513"/>
      <c r="PNI13" s="513"/>
      <c r="PNJ13" s="513"/>
      <c r="PNK13" s="513"/>
      <c r="PNL13" s="513"/>
      <c r="PNM13" s="513"/>
      <c r="PNN13" s="513"/>
      <c r="PNO13" s="513"/>
      <c r="PNP13" s="513"/>
      <c r="PNQ13" s="513"/>
      <c r="PNR13" s="513"/>
      <c r="PNS13" s="513"/>
      <c r="PNT13" s="513"/>
      <c r="PNU13" s="513"/>
      <c r="PNV13" s="513"/>
      <c r="PNW13" s="513"/>
      <c r="PNX13" s="513"/>
      <c r="PNY13" s="513"/>
      <c r="PNZ13" s="513"/>
      <c r="POA13" s="513"/>
      <c r="POB13" s="513"/>
      <c r="POC13" s="513"/>
      <c r="POD13" s="513"/>
      <c r="POE13" s="513"/>
      <c r="POF13" s="513"/>
      <c r="POG13" s="513"/>
      <c r="POH13" s="513"/>
      <c r="POI13" s="513"/>
      <c r="POJ13" s="513"/>
      <c r="POK13" s="513"/>
      <c r="POL13" s="513"/>
      <c r="POM13" s="513"/>
      <c r="PON13" s="513"/>
      <c r="POO13" s="513"/>
      <c r="POP13" s="513"/>
      <c r="POQ13" s="513"/>
      <c r="POR13" s="513"/>
      <c r="POS13" s="513"/>
      <c r="POT13" s="513"/>
      <c r="POU13" s="513"/>
      <c r="POV13" s="513"/>
      <c r="POW13" s="513"/>
      <c r="POX13" s="513"/>
      <c r="POY13" s="513"/>
      <c r="POZ13" s="513"/>
      <c r="PPA13" s="513"/>
      <c r="PPB13" s="513"/>
      <c r="PPC13" s="513"/>
      <c r="PPD13" s="513"/>
      <c r="PPE13" s="513"/>
      <c r="PPF13" s="513"/>
      <c r="PPG13" s="513"/>
      <c r="PPH13" s="513"/>
      <c r="PPI13" s="513"/>
      <c r="PPJ13" s="513"/>
      <c r="PPK13" s="513"/>
      <c r="PPL13" s="513"/>
      <c r="PPM13" s="513"/>
      <c r="PPN13" s="513"/>
      <c r="PPO13" s="513"/>
      <c r="PPP13" s="513"/>
      <c r="PPQ13" s="513"/>
      <c r="PPR13" s="513"/>
      <c r="PPS13" s="513"/>
      <c r="PPT13" s="513"/>
      <c r="PPU13" s="513"/>
      <c r="PPV13" s="513"/>
      <c r="PPW13" s="513"/>
      <c r="PPX13" s="513"/>
      <c r="PPY13" s="513"/>
      <c r="PPZ13" s="513"/>
      <c r="PQA13" s="513"/>
      <c r="PQB13" s="513"/>
      <c r="PQC13" s="513"/>
      <c r="PQD13" s="513"/>
      <c r="PQE13" s="513"/>
      <c r="PQF13" s="513"/>
      <c r="PQG13" s="513"/>
      <c r="PQH13" s="513"/>
      <c r="PQI13" s="513"/>
      <c r="PQJ13" s="513"/>
      <c r="PQK13" s="513"/>
      <c r="PQL13" s="513"/>
      <c r="PQM13" s="513"/>
      <c r="PQN13" s="513"/>
      <c r="PQO13" s="513"/>
      <c r="PQP13" s="513"/>
      <c r="PQQ13" s="513"/>
      <c r="PQR13" s="513"/>
      <c r="PQS13" s="513"/>
      <c r="PQT13" s="513"/>
      <c r="PQU13" s="513"/>
      <c r="PQV13" s="513"/>
      <c r="PQW13" s="513"/>
      <c r="PQX13" s="513"/>
      <c r="PQY13" s="513"/>
      <c r="PQZ13" s="513"/>
      <c r="PRA13" s="513"/>
      <c r="PRB13" s="513"/>
      <c r="PRC13" s="513"/>
      <c r="PRD13" s="513"/>
      <c r="PRE13" s="513"/>
      <c r="PRF13" s="513"/>
      <c r="PRG13" s="513"/>
      <c r="PRH13" s="513"/>
      <c r="PRI13" s="513"/>
      <c r="PRJ13" s="513"/>
      <c r="PRK13" s="513"/>
      <c r="PRL13" s="513"/>
      <c r="PRM13" s="513"/>
      <c r="PRN13" s="513"/>
      <c r="PRO13" s="513"/>
      <c r="PRP13" s="513"/>
      <c r="PRQ13" s="513"/>
      <c r="PRR13" s="513"/>
      <c r="PRS13" s="513"/>
      <c r="PRT13" s="513"/>
      <c r="PRU13" s="513"/>
      <c r="PRV13" s="513"/>
      <c r="PRW13" s="513"/>
      <c r="PRX13" s="513"/>
      <c r="PRY13" s="513"/>
      <c r="PRZ13" s="513"/>
      <c r="PSA13" s="513"/>
      <c r="PSB13" s="513"/>
      <c r="PSC13" s="513"/>
      <c r="PSD13" s="513"/>
      <c r="PSE13" s="513"/>
      <c r="PSF13" s="513"/>
      <c r="PSG13" s="513"/>
      <c r="PSH13" s="513"/>
      <c r="PSI13" s="513"/>
      <c r="PSJ13" s="513"/>
      <c r="PSK13" s="513"/>
      <c r="PSL13" s="513"/>
      <c r="PSM13" s="513"/>
      <c r="PSN13" s="513"/>
      <c r="PSO13" s="513"/>
      <c r="PSP13" s="513"/>
      <c r="PSQ13" s="513"/>
      <c r="PSR13" s="513"/>
      <c r="PSS13" s="513"/>
      <c r="PST13" s="513"/>
      <c r="PSU13" s="513"/>
      <c r="PSV13" s="513"/>
      <c r="PSW13" s="513"/>
      <c r="PSX13" s="513"/>
      <c r="PSY13" s="513"/>
      <c r="PSZ13" s="513"/>
      <c r="PTA13" s="513"/>
      <c r="PTB13" s="513"/>
      <c r="PTC13" s="513"/>
      <c r="PTD13" s="513"/>
      <c r="PTE13" s="513"/>
      <c r="PTF13" s="513"/>
      <c r="PTG13" s="513"/>
      <c r="PTH13" s="513"/>
      <c r="PTI13" s="513"/>
      <c r="PTJ13" s="513"/>
      <c r="PTK13" s="513"/>
      <c r="PTL13" s="513"/>
      <c r="PTM13" s="513"/>
      <c r="PTN13" s="513"/>
      <c r="PTO13" s="513"/>
      <c r="PTP13" s="513"/>
      <c r="PTQ13" s="513"/>
      <c r="PTR13" s="513"/>
      <c r="PTS13" s="513"/>
      <c r="PTT13" s="513"/>
      <c r="PTU13" s="513"/>
      <c r="PTV13" s="513"/>
      <c r="PTW13" s="513"/>
      <c r="PTX13" s="513"/>
      <c r="PTY13" s="513"/>
      <c r="PTZ13" s="513"/>
      <c r="PUA13" s="513"/>
      <c r="PUB13" s="513"/>
      <c r="PUC13" s="513"/>
      <c r="PUD13" s="513"/>
      <c r="PUE13" s="513"/>
      <c r="PUF13" s="513"/>
      <c r="PUG13" s="513"/>
      <c r="PUH13" s="513"/>
      <c r="PUI13" s="513"/>
      <c r="PUJ13" s="513"/>
      <c r="PUK13" s="513"/>
      <c r="PUL13" s="513"/>
      <c r="PUM13" s="513"/>
      <c r="PUN13" s="513"/>
      <c r="PUO13" s="513"/>
      <c r="PUP13" s="513"/>
      <c r="PUQ13" s="513"/>
      <c r="PUR13" s="513"/>
      <c r="PUS13" s="513"/>
      <c r="PUT13" s="513"/>
      <c r="PUU13" s="513"/>
      <c r="PUV13" s="513"/>
      <c r="PUW13" s="513"/>
      <c r="PUX13" s="513"/>
      <c r="PUY13" s="513"/>
      <c r="PUZ13" s="513"/>
      <c r="PVA13" s="513"/>
      <c r="PVB13" s="513"/>
      <c r="PVC13" s="513"/>
      <c r="PVD13" s="513"/>
      <c r="PVE13" s="513"/>
      <c r="PVF13" s="513"/>
      <c r="PVG13" s="513"/>
      <c r="PVH13" s="513"/>
      <c r="PVI13" s="513"/>
      <c r="PVJ13" s="513"/>
      <c r="PVK13" s="513"/>
      <c r="PVL13" s="513"/>
      <c r="PVM13" s="513"/>
      <c r="PVN13" s="513"/>
      <c r="PVO13" s="513"/>
      <c r="PVP13" s="513"/>
      <c r="PVQ13" s="513"/>
      <c r="PVR13" s="513"/>
      <c r="PVS13" s="513"/>
      <c r="PVT13" s="513"/>
      <c r="PVU13" s="513"/>
      <c r="PVV13" s="513"/>
      <c r="PVW13" s="513"/>
      <c r="PVX13" s="513"/>
      <c r="PVY13" s="513"/>
      <c r="PVZ13" s="513"/>
      <c r="PWA13" s="513"/>
      <c r="PWB13" s="513"/>
      <c r="PWC13" s="513"/>
      <c r="PWD13" s="513"/>
      <c r="PWE13" s="513"/>
      <c r="PWF13" s="513"/>
      <c r="PWG13" s="513"/>
      <c r="PWH13" s="513"/>
      <c r="PWI13" s="513"/>
      <c r="PWJ13" s="513"/>
      <c r="PWK13" s="513"/>
      <c r="PWL13" s="513"/>
      <c r="PWM13" s="513"/>
      <c r="PWN13" s="513"/>
      <c r="PWO13" s="513"/>
      <c r="PWP13" s="513"/>
      <c r="PWQ13" s="513"/>
      <c r="PWR13" s="513"/>
      <c r="PWS13" s="513"/>
      <c r="PWT13" s="513"/>
      <c r="PWU13" s="513"/>
      <c r="PWV13" s="513"/>
      <c r="PWW13" s="513"/>
      <c r="PWX13" s="513"/>
      <c r="PWY13" s="513"/>
      <c r="PWZ13" s="513"/>
      <c r="PXA13" s="513"/>
      <c r="PXB13" s="513"/>
      <c r="PXC13" s="513"/>
      <c r="PXD13" s="513"/>
      <c r="PXE13" s="513"/>
      <c r="PXF13" s="513"/>
      <c r="PXG13" s="513"/>
      <c r="PXH13" s="513"/>
      <c r="PXI13" s="513"/>
      <c r="PXJ13" s="513"/>
      <c r="PXK13" s="513"/>
      <c r="PXL13" s="513"/>
      <c r="PXM13" s="513"/>
      <c r="PXN13" s="513"/>
      <c r="PXO13" s="513"/>
      <c r="PXP13" s="513"/>
      <c r="PXQ13" s="513"/>
      <c r="PXR13" s="513"/>
      <c r="PXS13" s="513"/>
      <c r="PXT13" s="513"/>
      <c r="PXU13" s="513"/>
      <c r="PXV13" s="513"/>
      <c r="PXW13" s="513"/>
      <c r="PXX13" s="513"/>
      <c r="PXY13" s="513"/>
      <c r="PXZ13" s="513"/>
      <c r="PYA13" s="513"/>
      <c r="PYB13" s="513"/>
      <c r="PYC13" s="513"/>
      <c r="PYD13" s="513"/>
      <c r="PYE13" s="513"/>
      <c r="PYF13" s="513"/>
      <c r="PYG13" s="513"/>
      <c r="PYH13" s="513"/>
      <c r="PYI13" s="513"/>
      <c r="PYJ13" s="513"/>
      <c r="PYK13" s="513"/>
      <c r="PYL13" s="513"/>
      <c r="PYM13" s="513"/>
      <c r="PYN13" s="513"/>
      <c r="PYO13" s="513"/>
      <c r="PYP13" s="513"/>
      <c r="PYQ13" s="513"/>
      <c r="PYR13" s="513"/>
      <c r="PYS13" s="513"/>
      <c r="PYT13" s="513"/>
      <c r="PYU13" s="513"/>
      <c r="PYV13" s="513"/>
      <c r="PYW13" s="513"/>
      <c r="PYX13" s="513"/>
      <c r="PYY13" s="513"/>
      <c r="PYZ13" s="513"/>
      <c r="PZA13" s="513"/>
      <c r="PZB13" s="513"/>
      <c r="PZC13" s="513"/>
      <c r="PZD13" s="513"/>
      <c r="PZE13" s="513"/>
      <c r="PZF13" s="513"/>
      <c r="PZG13" s="513"/>
      <c r="PZH13" s="513"/>
      <c r="PZI13" s="513"/>
      <c r="PZJ13" s="513"/>
      <c r="PZK13" s="513"/>
      <c r="PZL13" s="513"/>
      <c r="PZM13" s="513"/>
      <c r="PZN13" s="513"/>
      <c r="PZO13" s="513"/>
      <c r="PZP13" s="513"/>
      <c r="PZQ13" s="513"/>
      <c r="PZR13" s="513"/>
      <c r="PZS13" s="513"/>
      <c r="PZT13" s="513"/>
      <c r="PZU13" s="513"/>
      <c r="PZV13" s="513"/>
      <c r="PZW13" s="513"/>
      <c r="PZX13" s="513"/>
      <c r="PZY13" s="513"/>
      <c r="PZZ13" s="513"/>
      <c r="QAA13" s="513"/>
      <c r="QAB13" s="513"/>
      <c r="QAC13" s="513"/>
      <c r="QAD13" s="513"/>
      <c r="QAE13" s="513"/>
      <c r="QAF13" s="513"/>
      <c r="QAG13" s="513"/>
      <c r="QAH13" s="513"/>
      <c r="QAI13" s="513"/>
      <c r="QAJ13" s="513"/>
      <c r="QAK13" s="513"/>
      <c r="QAL13" s="513"/>
      <c r="QAM13" s="513"/>
      <c r="QAN13" s="513"/>
      <c r="QAO13" s="513"/>
      <c r="QAP13" s="513"/>
      <c r="QAQ13" s="513"/>
      <c r="QAR13" s="513"/>
      <c r="QAS13" s="513"/>
      <c r="QAT13" s="513"/>
      <c r="QAU13" s="513"/>
      <c r="QAV13" s="513"/>
      <c r="QAW13" s="513"/>
      <c r="QAX13" s="513"/>
      <c r="QAY13" s="513"/>
      <c r="QAZ13" s="513"/>
      <c r="QBA13" s="513"/>
      <c r="QBB13" s="513"/>
      <c r="QBC13" s="513"/>
      <c r="QBD13" s="513"/>
      <c r="QBE13" s="513"/>
      <c r="QBF13" s="513"/>
      <c r="QBG13" s="513"/>
      <c r="QBH13" s="513"/>
      <c r="QBI13" s="513"/>
      <c r="QBJ13" s="513"/>
      <c r="QBK13" s="513"/>
      <c r="QBL13" s="513"/>
      <c r="QBM13" s="513"/>
      <c r="QBN13" s="513"/>
      <c r="QBO13" s="513"/>
      <c r="QBP13" s="513"/>
      <c r="QBQ13" s="513"/>
      <c r="QBR13" s="513"/>
      <c r="QBS13" s="513"/>
      <c r="QBT13" s="513"/>
      <c r="QBU13" s="513"/>
      <c r="QBV13" s="513"/>
      <c r="QBW13" s="513"/>
      <c r="QBX13" s="513"/>
      <c r="QBY13" s="513"/>
      <c r="QBZ13" s="513"/>
      <c r="QCA13" s="513"/>
      <c r="QCB13" s="513"/>
      <c r="QCC13" s="513"/>
      <c r="QCD13" s="513"/>
      <c r="QCE13" s="513"/>
      <c r="QCF13" s="513"/>
      <c r="QCG13" s="513"/>
      <c r="QCH13" s="513"/>
      <c r="QCI13" s="513"/>
      <c r="QCJ13" s="513"/>
      <c r="QCK13" s="513"/>
      <c r="QCL13" s="513"/>
      <c r="QCM13" s="513"/>
      <c r="QCN13" s="513"/>
      <c r="QCO13" s="513"/>
      <c r="QCP13" s="513"/>
      <c r="QCQ13" s="513"/>
      <c r="QCR13" s="513"/>
      <c r="QCS13" s="513"/>
      <c r="QCT13" s="513"/>
      <c r="QCU13" s="513"/>
      <c r="QCV13" s="513"/>
      <c r="QCW13" s="513"/>
      <c r="QCX13" s="513"/>
      <c r="QCY13" s="513"/>
      <c r="QCZ13" s="513"/>
      <c r="QDA13" s="513"/>
      <c r="QDB13" s="513"/>
      <c r="QDC13" s="513"/>
      <c r="QDD13" s="513"/>
      <c r="QDE13" s="513"/>
      <c r="QDF13" s="513"/>
      <c r="QDG13" s="513"/>
      <c r="QDH13" s="513"/>
      <c r="QDI13" s="513"/>
      <c r="QDJ13" s="513"/>
      <c r="QDK13" s="513"/>
      <c r="QDL13" s="513"/>
      <c r="QDM13" s="513"/>
      <c r="QDN13" s="513"/>
      <c r="QDO13" s="513"/>
      <c r="QDP13" s="513"/>
      <c r="QDQ13" s="513"/>
      <c r="QDR13" s="513"/>
      <c r="QDS13" s="513"/>
      <c r="QDT13" s="513"/>
      <c r="QDU13" s="513"/>
      <c r="QDV13" s="513"/>
      <c r="QDW13" s="513"/>
      <c r="QDX13" s="513"/>
      <c r="QDY13" s="513"/>
      <c r="QDZ13" s="513"/>
      <c r="QEA13" s="513"/>
      <c r="QEB13" s="513"/>
      <c r="QEC13" s="513"/>
      <c r="QED13" s="513"/>
      <c r="QEE13" s="513"/>
      <c r="QEF13" s="513"/>
      <c r="QEG13" s="513"/>
      <c r="QEH13" s="513"/>
      <c r="QEI13" s="513"/>
      <c r="QEJ13" s="513"/>
      <c r="QEK13" s="513"/>
      <c r="QEL13" s="513"/>
      <c r="QEM13" s="513"/>
      <c r="QEN13" s="513"/>
      <c r="QEO13" s="513"/>
      <c r="QEP13" s="513"/>
      <c r="QEQ13" s="513"/>
      <c r="QER13" s="513"/>
      <c r="QES13" s="513"/>
      <c r="QET13" s="513"/>
      <c r="QEU13" s="513"/>
      <c r="QEV13" s="513"/>
      <c r="QEW13" s="513"/>
      <c r="QEX13" s="513"/>
      <c r="QEY13" s="513"/>
      <c r="QEZ13" s="513"/>
      <c r="QFA13" s="513"/>
      <c r="QFB13" s="513"/>
      <c r="QFC13" s="513"/>
      <c r="QFD13" s="513"/>
      <c r="QFE13" s="513"/>
      <c r="QFF13" s="513"/>
      <c r="QFG13" s="513"/>
      <c r="QFH13" s="513"/>
      <c r="QFI13" s="513"/>
      <c r="QFJ13" s="513"/>
      <c r="QFK13" s="513"/>
      <c r="QFL13" s="513"/>
      <c r="QFM13" s="513"/>
      <c r="QFN13" s="513"/>
      <c r="QFO13" s="513"/>
      <c r="QFP13" s="513"/>
      <c r="QFQ13" s="513"/>
      <c r="QFR13" s="513"/>
      <c r="QFS13" s="513"/>
      <c r="QFT13" s="513"/>
      <c r="QFU13" s="513"/>
      <c r="QFV13" s="513"/>
      <c r="QFW13" s="513"/>
      <c r="QFX13" s="513"/>
      <c r="QFY13" s="513"/>
      <c r="QFZ13" s="513"/>
      <c r="QGA13" s="513"/>
      <c r="QGB13" s="513"/>
      <c r="QGC13" s="513"/>
      <c r="QGD13" s="513"/>
      <c r="QGE13" s="513"/>
      <c r="QGF13" s="513"/>
      <c r="QGG13" s="513"/>
      <c r="QGH13" s="513"/>
      <c r="QGI13" s="513"/>
      <c r="QGJ13" s="513"/>
      <c r="QGK13" s="513"/>
      <c r="QGL13" s="513"/>
      <c r="QGM13" s="513"/>
      <c r="QGN13" s="513"/>
      <c r="QGO13" s="513"/>
      <c r="QGP13" s="513"/>
      <c r="QGQ13" s="513"/>
      <c r="QGR13" s="513"/>
      <c r="QGS13" s="513"/>
      <c r="QGT13" s="513"/>
      <c r="QGU13" s="513"/>
      <c r="QGV13" s="513"/>
      <c r="QGW13" s="513"/>
      <c r="QGX13" s="513"/>
      <c r="QGY13" s="513"/>
      <c r="QGZ13" s="513"/>
      <c r="QHA13" s="513"/>
      <c r="QHB13" s="513"/>
      <c r="QHC13" s="513"/>
      <c r="QHD13" s="513"/>
      <c r="QHE13" s="513"/>
      <c r="QHF13" s="513"/>
      <c r="QHG13" s="513"/>
      <c r="QHH13" s="513"/>
      <c r="QHI13" s="513"/>
      <c r="QHJ13" s="513"/>
      <c r="QHK13" s="513"/>
      <c r="QHL13" s="513"/>
      <c r="QHM13" s="513"/>
      <c r="QHN13" s="513"/>
      <c r="QHO13" s="513"/>
      <c r="QHP13" s="513"/>
      <c r="QHQ13" s="513"/>
      <c r="QHR13" s="513"/>
      <c r="QHS13" s="513"/>
      <c r="QHT13" s="513"/>
      <c r="QHU13" s="513"/>
      <c r="QHV13" s="513"/>
      <c r="QHW13" s="513"/>
      <c r="QHX13" s="513"/>
      <c r="QHY13" s="513"/>
      <c r="QHZ13" s="513"/>
      <c r="QIA13" s="513"/>
      <c r="QIB13" s="513"/>
      <c r="QIC13" s="513"/>
      <c r="QID13" s="513"/>
      <c r="QIE13" s="513"/>
      <c r="QIF13" s="513"/>
      <c r="QIG13" s="513"/>
      <c r="QIH13" s="513"/>
      <c r="QII13" s="513"/>
      <c r="QIJ13" s="513"/>
      <c r="QIK13" s="513"/>
      <c r="QIL13" s="513"/>
      <c r="QIM13" s="513"/>
      <c r="QIN13" s="513"/>
      <c r="QIO13" s="513"/>
      <c r="QIP13" s="513"/>
      <c r="QIQ13" s="513"/>
      <c r="QIR13" s="513"/>
      <c r="QIS13" s="513"/>
      <c r="QIT13" s="513"/>
      <c r="QIU13" s="513"/>
      <c r="QIV13" s="513"/>
      <c r="QIW13" s="513"/>
      <c r="QIX13" s="513"/>
      <c r="QIY13" s="513"/>
      <c r="QIZ13" s="513"/>
      <c r="QJA13" s="513"/>
      <c r="QJB13" s="513"/>
      <c r="QJC13" s="513"/>
      <c r="QJD13" s="513"/>
      <c r="QJE13" s="513"/>
      <c r="QJF13" s="513"/>
      <c r="QJG13" s="513"/>
      <c r="QJH13" s="513"/>
      <c r="QJI13" s="513"/>
      <c r="QJJ13" s="513"/>
      <c r="QJK13" s="513"/>
      <c r="QJL13" s="513"/>
      <c r="QJM13" s="513"/>
      <c r="QJN13" s="513"/>
      <c r="QJO13" s="513"/>
      <c r="QJP13" s="513"/>
      <c r="QJQ13" s="513"/>
      <c r="QJR13" s="513"/>
      <c r="QJS13" s="513"/>
      <c r="QJT13" s="513"/>
      <c r="QJU13" s="513"/>
      <c r="QJV13" s="513"/>
      <c r="QJW13" s="513"/>
      <c r="QJX13" s="513"/>
      <c r="QJY13" s="513"/>
      <c r="QJZ13" s="513"/>
      <c r="QKA13" s="513"/>
      <c r="QKB13" s="513"/>
      <c r="QKC13" s="513"/>
      <c r="QKD13" s="513"/>
      <c r="QKE13" s="513"/>
      <c r="QKF13" s="513"/>
      <c r="QKG13" s="513"/>
      <c r="QKH13" s="513"/>
      <c r="QKI13" s="513"/>
      <c r="QKJ13" s="513"/>
      <c r="QKK13" s="513"/>
      <c r="QKL13" s="513"/>
      <c r="QKM13" s="513"/>
      <c r="QKN13" s="513"/>
      <c r="QKO13" s="513"/>
      <c r="QKP13" s="513"/>
      <c r="QKQ13" s="513"/>
      <c r="QKR13" s="513"/>
      <c r="QKS13" s="513"/>
      <c r="QKT13" s="513"/>
      <c r="QKU13" s="513"/>
      <c r="QKV13" s="513"/>
      <c r="QKW13" s="513"/>
      <c r="QKX13" s="513"/>
      <c r="QKY13" s="513"/>
      <c r="QKZ13" s="513"/>
      <c r="QLA13" s="513"/>
      <c r="QLB13" s="513"/>
      <c r="QLC13" s="513"/>
      <c r="QLD13" s="513"/>
      <c r="QLE13" s="513"/>
      <c r="QLF13" s="513"/>
      <c r="QLG13" s="513"/>
      <c r="QLH13" s="513"/>
      <c r="QLI13" s="513"/>
      <c r="QLJ13" s="513"/>
      <c r="QLK13" s="513"/>
      <c r="QLL13" s="513"/>
      <c r="QLM13" s="513"/>
      <c r="QLN13" s="513"/>
      <c r="QLO13" s="513"/>
      <c r="QLP13" s="513"/>
      <c r="QLQ13" s="513"/>
      <c r="QLR13" s="513"/>
      <c r="QLS13" s="513"/>
      <c r="QLT13" s="513"/>
      <c r="QLU13" s="513"/>
      <c r="QLV13" s="513"/>
      <c r="QLW13" s="513"/>
      <c r="QLX13" s="513"/>
      <c r="QLY13" s="513"/>
      <c r="QLZ13" s="513"/>
      <c r="QMA13" s="513"/>
      <c r="QMB13" s="513"/>
      <c r="QMC13" s="513"/>
      <c r="QMD13" s="513"/>
      <c r="QME13" s="513"/>
      <c r="QMF13" s="513"/>
      <c r="QMG13" s="513"/>
      <c r="QMH13" s="513"/>
      <c r="QMI13" s="513"/>
      <c r="QMJ13" s="513"/>
      <c r="QMK13" s="513"/>
      <c r="QML13" s="513"/>
      <c r="QMM13" s="513"/>
      <c r="QMN13" s="513"/>
      <c r="QMO13" s="513"/>
      <c r="QMP13" s="513"/>
      <c r="QMQ13" s="513"/>
      <c r="QMR13" s="513"/>
      <c r="QMS13" s="513"/>
      <c r="QMT13" s="513"/>
      <c r="QMU13" s="513"/>
      <c r="QMV13" s="513"/>
      <c r="QMW13" s="513"/>
      <c r="QMX13" s="513"/>
      <c r="QMY13" s="513"/>
      <c r="QMZ13" s="513"/>
      <c r="QNA13" s="513"/>
      <c r="QNB13" s="513"/>
      <c r="QNC13" s="513"/>
      <c r="QND13" s="513"/>
      <c r="QNE13" s="513"/>
      <c r="QNF13" s="513"/>
      <c r="QNG13" s="513"/>
      <c r="QNH13" s="513"/>
      <c r="QNI13" s="513"/>
      <c r="QNJ13" s="513"/>
      <c r="QNK13" s="513"/>
      <c r="QNL13" s="513"/>
      <c r="QNM13" s="513"/>
      <c r="QNN13" s="513"/>
      <c r="QNO13" s="513"/>
      <c r="QNP13" s="513"/>
      <c r="QNQ13" s="513"/>
      <c r="QNR13" s="513"/>
      <c r="QNS13" s="513"/>
      <c r="QNT13" s="513"/>
      <c r="QNU13" s="513"/>
      <c r="QNV13" s="513"/>
      <c r="QNW13" s="513"/>
      <c r="QNX13" s="513"/>
      <c r="QNY13" s="513"/>
      <c r="QNZ13" s="513"/>
      <c r="QOA13" s="513"/>
      <c r="QOB13" s="513"/>
      <c r="QOC13" s="513"/>
      <c r="QOD13" s="513"/>
      <c r="QOE13" s="513"/>
      <c r="QOF13" s="513"/>
      <c r="QOG13" s="513"/>
      <c r="QOH13" s="513"/>
      <c r="QOI13" s="513"/>
      <c r="QOJ13" s="513"/>
      <c r="QOK13" s="513"/>
      <c r="QOL13" s="513"/>
      <c r="QOM13" s="513"/>
      <c r="QON13" s="513"/>
      <c r="QOO13" s="513"/>
      <c r="QOP13" s="513"/>
      <c r="QOQ13" s="513"/>
      <c r="QOR13" s="513"/>
      <c r="QOS13" s="513"/>
      <c r="QOT13" s="513"/>
      <c r="QOU13" s="513"/>
      <c r="QOV13" s="513"/>
      <c r="QOW13" s="513"/>
      <c r="QOX13" s="513"/>
      <c r="QOY13" s="513"/>
      <c r="QOZ13" s="513"/>
      <c r="QPA13" s="513"/>
      <c r="QPB13" s="513"/>
      <c r="QPC13" s="513"/>
      <c r="QPD13" s="513"/>
      <c r="QPE13" s="513"/>
      <c r="QPF13" s="513"/>
      <c r="QPG13" s="513"/>
      <c r="QPH13" s="513"/>
      <c r="QPI13" s="513"/>
      <c r="QPJ13" s="513"/>
      <c r="QPK13" s="513"/>
      <c r="QPL13" s="513"/>
      <c r="QPM13" s="513"/>
      <c r="QPN13" s="513"/>
      <c r="QPO13" s="513"/>
      <c r="QPP13" s="513"/>
      <c r="QPQ13" s="513"/>
      <c r="QPR13" s="513"/>
      <c r="QPS13" s="513"/>
      <c r="QPT13" s="513"/>
      <c r="QPU13" s="513"/>
      <c r="QPV13" s="513"/>
      <c r="QPW13" s="513"/>
      <c r="QPX13" s="513"/>
      <c r="QPY13" s="513"/>
      <c r="QPZ13" s="513"/>
      <c r="QQA13" s="513"/>
      <c r="QQB13" s="513"/>
      <c r="QQC13" s="513"/>
      <c r="QQD13" s="513"/>
      <c r="QQE13" s="513"/>
      <c r="QQF13" s="513"/>
      <c r="QQG13" s="513"/>
      <c r="QQH13" s="513"/>
      <c r="QQI13" s="513"/>
      <c r="QQJ13" s="513"/>
      <c r="QQK13" s="513"/>
      <c r="QQL13" s="513"/>
      <c r="QQM13" s="513"/>
      <c r="QQN13" s="513"/>
      <c r="QQO13" s="513"/>
      <c r="QQP13" s="513"/>
      <c r="QQQ13" s="513"/>
      <c r="QQR13" s="513"/>
      <c r="QQS13" s="513"/>
      <c r="QQT13" s="513"/>
      <c r="QQU13" s="513"/>
      <c r="QQV13" s="513"/>
      <c r="QQW13" s="513"/>
      <c r="QQX13" s="513"/>
      <c r="QQY13" s="513"/>
      <c r="QQZ13" s="513"/>
      <c r="QRA13" s="513"/>
      <c r="QRB13" s="513"/>
      <c r="QRC13" s="513"/>
      <c r="QRD13" s="513"/>
      <c r="QRE13" s="513"/>
      <c r="QRF13" s="513"/>
      <c r="QRG13" s="513"/>
      <c r="QRH13" s="513"/>
      <c r="QRI13" s="513"/>
      <c r="QRJ13" s="513"/>
      <c r="QRK13" s="513"/>
      <c r="QRL13" s="513"/>
      <c r="QRM13" s="513"/>
      <c r="QRN13" s="513"/>
      <c r="QRO13" s="513"/>
      <c r="QRP13" s="513"/>
      <c r="QRQ13" s="513"/>
      <c r="QRR13" s="513"/>
      <c r="QRS13" s="513"/>
      <c r="QRT13" s="513"/>
      <c r="QRU13" s="513"/>
      <c r="QRV13" s="513"/>
      <c r="QRW13" s="513"/>
      <c r="QRX13" s="513"/>
      <c r="QRY13" s="513"/>
      <c r="QRZ13" s="513"/>
      <c r="QSA13" s="513"/>
      <c r="QSB13" s="513"/>
      <c r="QSC13" s="513"/>
      <c r="QSD13" s="513"/>
      <c r="QSE13" s="513"/>
      <c r="QSF13" s="513"/>
      <c r="QSG13" s="513"/>
      <c r="QSH13" s="513"/>
      <c r="QSI13" s="513"/>
      <c r="QSJ13" s="513"/>
      <c r="QSK13" s="513"/>
      <c r="QSL13" s="513"/>
      <c r="QSM13" s="513"/>
      <c r="QSN13" s="513"/>
      <c r="QSO13" s="513"/>
      <c r="QSP13" s="513"/>
      <c r="QSQ13" s="513"/>
      <c r="QSR13" s="513"/>
      <c r="QSS13" s="513"/>
      <c r="QST13" s="513"/>
      <c r="QSU13" s="513"/>
      <c r="QSV13" s="513"/>
      <c r="QSW13" s="513"/>
      <c r="QSX13" s="513"/>
      <c r="QSY13" s="513"/>
      <c r="QSZ13" s="513"/>
      <c r="QTA13" s="513"/>
      <c r="QTB13" s="513"/>
      <c r="QTC13" s="513"/>
      <c r="QTD13" s="513"/>
      <c r="QTE13" s="513"/>
      <c r="QTF13" s="513"/>
      <c r="QTG13" s="513"/>
      <c r="QTH13" s="513"/>
      <c r="QTI13" s="513"/>
      <c r="QTJ13" s="513"/>
      <c r="QTK13" s="513"/>
      <c r="QTL13" s="513"/>
      <c r="QTM13" s="513"/>
      <c r="QTN13" s="513"/>
      <c r="QTO13" s="513"/>
      <c r="QTP13" s="513"/>
      <c r="QTQ13" s="513"/>
      <c r="QTR13" s="513"/>
      <c r="QTS13" s="513"/>
      <c r="QTT13" s="513"/>
      <c r="QTU13" s="513"/>
      <c r="QTV13" s="513"/>
      <c r="QTW13" s="513"/>
      <c r="QTX13" s="513"/>
      <c r="QTY13" s="513"/>
      <c r="QTZ13" s="513"/>
      <c r="QUA13" s="513"/>
      <c r="QUB13" s="513"/>
      <c r="QUC13" s="513"/>
      <c r="QUD13" s="513"/>
      <c r="QUE13" s="513"/>
      <c r="QUF13" s="513"/>
      <c r="QUG13" s="513"/>
      <c r="QUH13" s="513"/>
      <c r="QUI13" s="513"/>
      <c r="QUJ13" s="513"/>
      <c r="QUK13" s="513"/>
      <c r="QUL13" s="513"/>
      <c r="QUM13" s="513"/>
      <c r="QUN13" s="513"/>
      <c r="QUO13" s="513"/>
      <c r="QUP13" s="513"/>
      <c r="QUQ13" s="513"/>
      <c r="QUR13" s="513"/>
      <c r="QUS13" s="513"/>
      <c r="QUT13" s="513"/>
      <c r="QUU13" s="513"/>
      <c r="QUV13" s="513"/>
      <c r="QUW13" s="513"/>
      <c r="QUX13" s="513"/>
      <c r="QUY13" s="513"/>
      <c r="QUZ13" s="513"/>
      <c r="QVA13" s="513"/>
      <c r="QVB13" s="513"/>
      <c r="QVC13" s="513"/>
      <c r="QVD13" s="513"/>
      <c r="QVE13" s="513"/>
      <c r="QVF13" s="513"/>
      <c r="QVG13" s="513"/>
      <c r="QVH13" s="513"/>
      <c r="QVI13" s="513"/>
      <c r="QVJ13" s="513"/>
      <c r="QVK13" s="513"/>
      <c r="QVL13" s="513"/>
      <c r="QVM13" s="513"/>
      <c r="QVN13" s="513"/>
      <c r="QVO13" s="513"/>
      <c r="QVP13" s="513"/>
      <c r="QVQ13" s="513"/>
      <c r="QVR13" s="513"/>
      <c r="QVS13" s="513"/>
      <c r="QVT13" s="513"/>
      <c r="QVU13" s="513"/>
      <c r="QVV13" s="513"/>
      <c r="QVW13" s="513"/>
      <c r="QVX13" s="513"/>
      <c r="QVY13" s="513"/>
      <c r="QVZ13" s="513"/>
      <c r="QWA13" s="513"/>
      <c r="QWB13" s="513"/>
      <c r="QWC13" s="513"/>
      <c r="QWD13" s="513"/>
      <c r="QWE13" s="513"/>
      <c r="QWF13" s="513"/>
      <c r="QWG13" s="513"/>
      <c r="QWH13" s="513"/>
      <c r="QWI13" s="513"/>
      <c r="QWJ13" s="513"/>
      <c r="QWK13" s="513"/>
      <c r="QWL13" s="513"/>
      <c r="QWM13" s="513"/>
      <c r="QWN13" s="513"/>
      <c r="QWO13" s="513"/>
      <c r="QWP13" s="513"/>
      <c r="QWQ13" s="513"/>
      <c r="QWR13" s="513"/>
      <c r="QWS13" s="513"/>
      <c r="QWT13" s="513"/>
      <c r="QWU13" s="513"/>
      <c r="QWV13" s="513"/>
      <c r="QWW13" s="513"/>
      <c r="QWX13" s="513"/>
      <c r="QWY13" s="513"/>
      <c r="QWZ13" s="513"/>
      <c r="QXA13" s="513"/>
      <c r="QXB13" s="513"/>
      <c r="QXC13" s="513"/>
      <c r="QXD13" s="513"/>
      <c r="QXE13" s="513"/>
      <c r="QXF13" s="513"/>
      <c r="QXG13" s="513"/>
      <c r="QXH13" s="513"/>
      <c r="QXI13" s="513"/>
      <c r="QXJ13" s="513"/>
      <c r="QXK13" s="513"/>
      <c r="QXL13" s="513"/>
      <c r="QXM13" s="513"/>
      <c r="QXN13" s="513"/>
      <c r="QXO13" s="513"/>
      <c r="QXP13" s="513"/>
      <c r="QXQ13" s="513"/>
      <c r="QXR13" s="513"/>
      <c r="QXS13" s="513"/>
      <c r="QXT13" s="513"/>
      <c r="QXU13" s="513"/>
      <c r="QXV13" s="513"/>
      <c r="QXW13" s="513"/>
      <c r="QXX13" s="513"/>
      <c r="QXY13" s="513"/>
      <c r="QXZ13" s="513"/>
      <c r="QYA13" s="513"/>
      <c r="QYB13" s="513"/>
      <c r="QYC13" s="513"/>
      <c r="QYD13" s="513"/>
      <c r="QYE13" s="513"/>
      <c r="QYF13" s="513"/>
      <c r="QYG13" s="513"/>
      <c r="QYH13" s="513"/>
      <c r="QYI13" s="513"/>
      <c r="QYJ13" s="513"/>
      <c r="QYK13" s="513"/>
      <c r="QYL13" s="513"/>
      <c r="QYM13" s="513"/>
      <c r="QYN13" s="513"/>
      <c r="QYO13" s="513"/>
      <c r="QYP13" s="513"/>
      <c r="QYQ13" s="513"/>
      <c r="QYR13" s="513"/>
      <c r="QYS13" s="513"/>
      <c r="QYT13" s="513"/>
      <c r="QYU13" s="513"/>
      <c r="QYV13" s="513"/>
      <c r="QYW13" s="513"/>
      <c r="QYX13" s="513"/>
      <c r="QYY13" s="513"/>
      <c r="QYZ13" s="513"/>
      <c r="QZA13" s="513"/>
      <c r="QZB13" s="513"/>
      <c r="QZC13" s="513"/>
      <c r="QZD13" s="513"/>
      <c r="QZE13" s="513"/>
      <c r="QZF13" s="513"/>
      <c r="QZG13" s="513"/>
      <c r="QZH13" s="513"/>
      <c r="QZI13" s="513"/>
      <c r="QZJ13" s="513"/>
      <c r="QZK13" s="513"/>
      <c r="QZL13" s="513"/>
      <c r="QZM13" s="513"/>
      <c r="QZN13" s="513"/>
      <c r="QZO13" s="513"/>
      <c r="QZP13" s="513"/>
      <c r="QZQ13" s="513"/>
      <c r="QZR13" s="513"/>
      <c r="QZS13" s="513"/>
      <c r="QZT13" s="513"/>
      <c r="QZU13" s="513"/>
      <c r="QZV13" s="513"/>
      <c r="QZW13" s="513"/>
      <c r="QZX13" s="513"/>
      <c r="QZY13" s="513"/>
      <c r="QZZ13" s="513"/>
      <c r="RAA13" s="513"/>
      <c r="RAB13" s="513"/>
      <c r="RAC13" s="513"/>
      <c r="RAD13" s="513"/>
      <c r="RAE13" s="513"/>
      <c r="RAF13" s="513"/>
      <c r="RAG13" s="513"/>
      <c r="RAH13" s="513"/>
      <c r="RAI13" s="513"/>
      <c r="RAJ13" s="513"/>
      <c r="RAK13" s="513"/>
      <c r="RAL13" s="513"/>
      <c r="RAM13" s="513"/>
      <c r="RAN13" s="513"/>
      <c r="RAO13" s="513"/>
      <c r="RAP13" s="513"/>
      <c r="RAQ13" s="513"/>
      <c r="RAR13" s="513"/>
      <c r="RAS13" s="513"/>
      <c r="RAT13" s="513"/>
      <c r="RAU13" s="513"/>
      <c r="RAV13" s="513"/>
      <c r="RAW13" s="513"/>
      <c r="RAX13" s="513"/>
      <c r="RAY13" s="513"/>
      <c r="RAZ13" s="513"/>
      <c r="RBA13" s="513"/>
      <c r="RBB13" s="513"/>
      <c r="RBC13" s="513"/>
      <c r="RBD13" s="513"/>
      <c r="RBE13" s="513"/>
      <c r="RBF13" s="513"/>
      <c r="RBG13" s="513"/>
      <c r="RBH13" s="513"/>
      <c r="RBI13" s="513"/>
      <c r="RBJ13" s="513"/>
      <c r="RBK13" s="513"/>
      <c r="RBL13" s="513"/>
      <c r="RBM13" s="513"/>
      <c r="RBN13" s="513"/>
      <c r="RBO13" s="513"/>
      <c r="RBP13" s="513"/>
      <c r="RBQ13" s="513"/>
      <c r="RBR13" s="513"/>
      <c r="RBS13" s="513"/>
      <c r="RBT13" s="513"/>
      <c r="RBU13" s="513"/>
      <c r="RBV13" s="513"/>
      <c r="RBW13" s="513"/>
      <c r="RBX13" s="513"/>
      <c r="RBY13" s="513"/>
      <c r="RBZ13" s="513"/>
      <c r="RCA13" s="513"/>
      <c r="RCB13" s="513"/>
      <c r="RCC13" s="513"/>
      <c r="RCD13" s="513"/>
      <c r="RCE13" s="513"/>
      <c r="RCF13" s="513"/>
      <c r="RCG13" s="513"/>
      <c r="RCH13" s="513"/>
      <c r="RCI13" s="513"/>
      <c r="RCJ13" s="513"/>
      <c r="RCK13" s="513"/>
      <c r="RCL13" s="513"/>
      <c r="RCM13" s="513"/>
      <c r="RCN13" s="513"/>
      <c r="RCO13" s="513"/>
      <c r="RCP13" s="513"/>
      <c r="RCQ13" s="513"/>
      <c r="RCR13" s="513"/>
      <c r="RCS13" s="513"/>
      <c r="RCT13" s="513"/>
      <c r="RCU13" s="513"/>
      <c r="RCV13" s="513"/>
      <c r="RCW13" s="513"/>
      <c r="RCX13" s="513"/>
      <c r="RCY13" s="513"/>
      <c r="RCZ13" s="513"/>
      <c r="RDA13" s="513"/>
      <c r="RDB13" s="513"/>
      <c r="RDC13" s="513"/>
      <c r="RDD13" s="513"/>
      <c r="RDE13" s="513"/>
      <c r="RDF13" s="513"/>
      <c r="RDG13" s="513"/>
      <c r="RDH13" s="513"/>
      <c r="RDI13" s="513"/>
      <c r="RDJ13" s="513"/>
      <c r="RDK13" s="513"/>
      <c r="RDL13" s="513"/>
      <c r="RDM13" s="513"/>
      <c r="RDN13" s="513"/>
      <c r="RDO13" s="513"/>
      <c r="RDP13" s="513"/>
      <c r="RDQ13" s="513"/>
      <c r="RDR13" s="513"/>
      <c r="RDS13" s="513"/>
      <c r="RDT13" s="513"/>
      <c r="RDU13" s="513"/>
      <c r="RDV13" s="513"/>
      <c r="RDW13" s="513"/>
      <c r="RDX13" s="513"/>
      <c r="RDY13" s="513"/>
      <c r="RDZ13" s="513"/>
      <c r="REA13" s="513"/>
      <c r="REB13" s="513"/>
      <c r="REC13" s="513"/>
      <c r="RED13" s="513"/>
      <c r="REE13" s="513"/>
      <c r="REF13" s="513"/>
      <c r="REG13" s="513"/>
      <c r="REH13" s="513"/>
      <c r="REI13" s="513"/>
      <c r="REJ13" s="513"/>
      <c r="REK13" s="513"/>
      <c r="REL13" s="513"/>
      <c r="REM13" s="513"/>
      <c r="REN13" s="513"/>
      <c r="REO13" s="513"/>
      <c r="REP13" s="513"/>
      <c r="REQ13" s="513"/>
      <c r="RER13" s="513"/>
      <c r="RES13" s="513"/>
      <c r="RET13" s="513"/>
      <c r="REU13" s="513"/>
      <c r="REV13" s="513"/>
      <c r="REW13" s="513"/>
      <c r="REX13" s="513"/>
      <c r="REY13" s="513"/>
      <c r="REZ13" s="513"/>
      <c r="RFA13" s="513"/>
      <c r="RFB13" s="513"/>
      <c r="RFC13" s="513"/>
      <c r="RFD13" s="513"/>
      <c r="RFE13" s="513"/>
      <c r="RFF13" s="513"/>
      <c r="RFG13" s="513"/>
      <c r="RFH13" s="513"/>
      <c r="RFI13" s="513"/>
      <c r="RFJ13" s="513"/>
      <c r="RFK13" s="513"/>
      <c r="RFL13" s="513"/>
      <c r="RFM13" s="513"/>
      <c r="RFN13" s="513"/>
      <c r="RFO13" s="513"/>
      <c r="RFP13" s="513"/>
      <c r="RFQ13" s="513"/>
      <c r="RFR13" s="513"/>
      <c r="RFS13" s="513"/>
      <c r="RFT13" s="513"/>
      <c r="RFU13" s="513"/>
      <c r="RFV13" s="513"/>
      <c r="RFW13" s="513"/>
      <c r="RFX13" s="513"/>
      <c r="RFY13" s="513"/>
      <c r="RFZ13" s="513"/>
      <c r="RGA13" s="513"/>
      <c r="RGB13" s="513"/>
      <c r="RGC13" s="513"/>
      <c r="RGD13" s="513"/>
      <c r="RGE13" s="513"/>
      <c r="RGF13" s="513"/>
      <c r="RGG13" s="513"/>
      <c r="RGH13" s="513"/>
      <c r="RGI13" s="513"/>
      <c r="RGJ13" s="513"/>
      <c r="RGK13" s="513"/>
      <c r="RGL13" s="513"/>
      <c r="RGM13" s="513"/>
      <c r="RGN13" s="513"/>
      <c r="RGO13" s="513"/>
      <c r="RGP13" s="513"/>
      <c r="RGQ13" s="513"/>
      <c r="RGR13" s="513"/>
      <c r="RGS13" s="513"/>
      <c r="RGT13" s="513"/>
      <c r="RGU13" s="513"/>
      <c r="RGV13" s="513"/>
      <c r="RGW13" s="513"/>
      <c r="RGX13" s="513"/>
      <c r="RGY13" s="513"/>
      <c r="RGZ13" s="513"/>
      <c r="RHA13" s="513"/>
      <c r="RHB13" s="513"/>
      <c r="RHC13" s="513"/>
      <c r="RHD13" s="513"/>
      <c r="RHE13" s="513"/>
      <c r="RHF13" s="513"/>
      <c r="RHG13" s="513"/>
      <c r="RHH13" s="513"/>
      <c r="RHI13" s="513"/>
      <c r="RHJ13" s="513"/>
      <c r="RHK13" s="513"/>
      <c r="RHL13" s="513"/>
      <c r="RHM13" s="513"/>
      <c r="RHN13" s="513"/>
      <c r="RHO13" s="513"/>
      <c r="RHP13" s="513"/>
      <c r="RHQ13" s="513"/>
      <c r="RHR13" s="513"/>
      <c r="RHS13" s="513"/>
      <c r="RHT13" s="513"/>
      <c r="RHU13" s="513"/>
      <c r="RHV13" s="513"/>
      <c r="RHW13" s="513"/>
      <c r="RHX13" s="513"/>
      <c r="RHY13" s="513"/>
      <c r="RHZ13" s="513"/>
      <c r="RIA13" s="513"/>
      <c r="RIB13" s="513"/>
      <c r="RIC13" s="513"/>
      <c r="RID13" s="513"/>
      <c r="RIE13" s="513"/>
      <c r="RIF13" s="513"/>
      <c r="RIG13" s="513"/>
      <c r="RIH13" s="513"/>
      <c r="RII13" s="513"/>
      <c r="RIJ13" s="513"/>
      <c r="RIK13" s="513"/>
      <c r="RIL13" s="513"/>
      <c r="RIM13" s="513"/>
      <c r="RIN13" s="513"/>
      <c r="RIO13" s="513"/>
      <c r="RIP13" s="513"/>
      <c r="RIQ13" s="513"/>
      <c r="RIR13" s="513"/>
      <c r="RIS13" s="513"/>
      <c r="RIT13" s="513"/>
      <c r="RIU13" s="513"/>
      <c r="RIV13" s="513"/>
      <c r="RIW13" s="513"/>
      <c r="RIX13" s="513"/>
      <c r="RIY13" s="513"/>
      <c r="RIZ13" s="513"/>
      <c r="RJA13" s="513"/>
      <c r="RJB13" s="513"/>
      <c r="RJC13" s="513"/>
      <c r="RJD13" s="513"/>
      <c r="RJE13" s="513"/>
      <c r="RJF13" s="513"/>
      <c r="RJG13" s="513"/>
      <c r="RJH13" s="513"/>
      <c r="RJI13" s="513"/>
      <c r="RJJ13" s="513"/>
      <c r="RJK13" s="513"/>
      <c r="RJL13" s="513"/>
      <c r="RJM13" s="513"/>
      <c r="RJN13" s="513"/>
      <c r="RJO13" s="513"/>
      <c r="RJP13" s="513"/>
      <c r="RJQ13" s="513"/>
      <c r="RJR13" s="513"/>
      <c r="RJS13" s="513"/>
      <c r="RJT13" s="513"/>
      <c r="RJU13" s="513"/>
      <c r="RJV13" s="513"/>
      <c r="RJW13" s="513"/>
      <c r="RJX13" s="513"/>
      <c r="RJY13" s="513"/>
      <c r="RJZ13" s="513"/>
      <c r="RKA13" s="513"/>
      <c r="RKB13" s="513"/>
      <c r="RKC13" s="513"/>
      <c r="RKD13" s="513"/>
      <c r="RKE13" s="513"/>
      <c r="RKF13" s="513"/>
      <c r="RKG13" s="513"/>
      <c r="RKH13" s="513"/>
      <c r="RKI13" s="513"/>
      <c r="RKJ13" s="513"/>
      <c r="RKK13" s="513"/>
      <c r="RKL13" s="513"/>
      <c r="RKM13" s="513"/>
      <c r="RKN13" s="513"/>
      <c r="RKO13" s="513"/>
      <c r="RKP13" s="513"/>
      <c r="RKQ13" s="513"/>
      <c r="RKR13" s="513"/>
      <c r="RKS13" s="513"/>
      <c r="RKT13" s="513"/>
      <c r="RKU13" s="513"/>
      <c r="RKV13" s="513"/>
      <c r="RKW13" s="513"/>
      <c r="RKX13" s="513"/>
      <c r="RKY13" s="513"/>
      <c r="RKZ13" s="513"/>
      <c r="RLA13" s="513"/>
      <c r="RLB13" s="513"/>
      <c r="RLC13" s="513"/>
      <c r="RLD13" s="513"/>
      <c r="RLE13" s="513"/>
      <c r="RLF13" s="513"/>
      <c r="RLG13" s="513"/>
      <c r="RLH13" s="513"/>
      <c r="RLI13" s="513"/>
      <c r="RLJ13" s="513"/>
      <c r="RLK13" s="513"/>
      <c r="RLL13" s="513"/>
      <c r="RLM13" s="513"/>
      <c r="RLN13" s="513"/>
      <c r="RLO13" s="513"/>
      <c r="RLP13" s="513"/>
      <c r="RLQ13" s="513"/>
      <c r="RLR13" s="513"/>
      <c r="RLS13" s="513"/>
      <c r="RLT13" s="513"/>
      <c r="RLU13" s="513"/>
      <c r="RLV13" s="513"/>
      <c r="RLW13" s="513"/>
      <c r="RLX13" s="513"/>
      <c r="RLY13" s="513"/>
      <c r="RLZ13" s="513"/>
      <c r="RMA13" s="513"/>
      <c r="RMB13" s="513"/>
      <c r="RMC13" s="513"/>
      <c r="RMD13" s="513"/>
      <c r="RME13" s="513"/>
      <c r="RMF13" s="513"/>
      <c r="RMG13" s="513"/>
      <c r="RMH13" s="513"/>
      <c r="RMI13" s="513"/>
      <c r="RMJ13" s="513"/>
      <c r="RMK13" s="513"/>
      <c r="RML13" s="513"/>
      <c r="RMM13" s="513"/>
      <c r="RMN13" s="513"/>
      <c r="RMO13" s="513"/>
      <c r="RMP13" s="513"/>
      <c r="RMQ13" s="513"/>
      <c r="RMR13" s="513"/>
      <c r="RMS13" s="513"/>
      <c r="RMT13" s="513"/>
      <c r="RMU13" s="513"/>
      <c r="RMV13" s="513"/>
      <c r="RMW13" s="513"/>
      <c r="RMX13" s="513"/>
      <c r="RMY13" s="513"/>
      <c r="RMZ13" s="513"/>
      <c r="RNA13" s="513"/>
      <c r="RNB13" s="513"/>
      <c r="RNC13" s="513"/>
      <c r="RND13" s="513"/>
      <c r="RNE13" s="513"/>
      <c r="RNF13" s="513"/>
      <c r="RNG13" s="513"/>
      <c r="RNH13" s="513"/>
      <c r="RNI13" s="513"/>
      <c r="RNJ13" s="513"/>
      <c r="RNK13" s="513"/>
      <c r="RNL13" s="513"/>
      <c r="RNM13" s="513"/>
      <c r="RNN13" s="513"/>
      <c r="RNO13" s="513"/>
      <c r="RNP13" s="513"/>
      <c r="RNQ13" s="513"/>
      <c r="RNR13" s="513"/>
      <c r="RNS13" s="513"/>
      <c r="RNT13" s="513"/>
      <c r="RNU13" s="513"/>
      <c r="RNV13" s="513"/>
      <c r="RNW13" s="513"/>
      <c r="RNX13" s="513"/>
      <c r="RNY13" s="513"/>
      <c r="RNZ13" s="513"/>
      <c r="ROA13" s="513"/>
      <c r="ROB13" s="513"/>
      <c r="ROC13" s="513"/>
      <c r="ROD13" s="513"/>
      <c r="ROE13" s="513"/>
      <c r="ROF13" s="513"/>
      <c r="ROG13" s="513"/>
      <c r="ROH13" s="513"/>
      <c r="ROI13" s="513"/>
      <c r="ROJ13" s="513"/>
      <c r="ROK13" s="513"/>
      <c r="ROL13" s="513"/>
      <c r="ROM13" s="513"/>
      <c r="RON13" s="513"/>
      <c r="ROO13" s="513"/>
      <c r="ROP13" s="513"/>
      <c r="ROQ13" s="513"/>
      <c r="ROR13" s="513"/>
      <c r="ROS13" s="513"/>
      <c r="ROT13" s="513"/>
      <c r="ROU13" s="513"/>
      <c r="ROV13" s="513"/>
      <c r="ROW13" s="513"/>
      <c r="ROX13" s="513"/>
      <c r="ROY13" s="513"/>
      <c r="ROZ13" s="513"/>
      <c r="RPA13" s="513"/>
      <c r="RPB13" s="513"/>
      <c r="RPC13" s="513"/>
      <c r="RPD13" s="513"/>
      <c r="RPE13" s="513"/>
      <c r="RPF13" s="513"/>
      <c r="RPG13" s="513"/>
      <c r="RPH13" s="513"/>
      <c r="RPI13" s="513"/>
      <c r="RPJ13" s="513"/>
      <c r="RPK13" s="513"/>
      <c r="RPL13" s="513"/>
      <c r="RPM13" s="513"/>
      <c r="RPN13" s="513"/>
      <c r="RPO13" s="513"/>
      <c r="RPP13" s="513"/>
      <c r="RPQ13" s="513"/>
      <c r="RPR13" s="513"/>
      <c r="RPS13" s="513"/>
      <c r="RPT13" s="513"/>
      <c r="RPU13" s="513"/>
      <c r="RPV13" s="513"/>
      <c r="RPW13" s="513"/>
      <c r="RPX13" s="513"/>
      <c r="RPY13" s="513"/>
      <c r="RPZ13" s="513"/>
      <c r="RQA13" s="513"/>
      <c r="RQB13" s="513"/>
      <c r="RQC13" s="513"/>
      <c r="RQD13" s="513"/>
      <c r="RQE13" s="513"/>
      <c r="RQF13" s="513"/>
      <c r="RQG13" s="513"/>
      <c r="RQH13" s="513"/>
      <c r="RQI13" s="513"/>
      <c r="RQJ13" s="513"/>
      <c r="RQK13" s="513"/>
      <c r="RQL13" s="513"/>
      <c r="RQM13" s="513"/>
      <c r="RQN13" s="513"/>
      <c r="RQO13" s="513"/>
      <c r="RQP13" s="513"/>
      <c r="RQQ13" s="513"/>
      <c r="RQR13" s="513"/>
      <c r="RQS13" s="513"/>
      <c r="RQT13" s="513"/>
      <c r="RQU13" s="513"/>
      <c r="RQV13" s="513"/>
      <c r="RQW13" s="513"/>
      <c r="RQX13" s="513"/>
      <c r="RQY13" s="513"/>
      <c r="RQZ13" s="513"/>
      <c r="RRA13" s="513"/>
      <c r="RRB13" s="513"/>
      <c r="RRC13" s="513"/>
      <c r="RRD13" s="513"/>
      <c r="RRE13" s="513"/>
      <c r="RRF13" s="513"/>
      <c r="RRG13" s="513"/>
      <c r="RRH13" s="513"/>
      <c r="RRI13" s="513"/>
      <c r="RRJ13" s="513"/>
      <c r="RRK13" s="513"/>
      <c r="RRL13" s="513"/>
      <c r="RRM13" s="513"/>
      <c r="RRN13" s="513"/>
      <c r="RRO13" s="513"/>
      <c r="RRP13" s="513"/>
      <c r="RRQ13" s="513"/>
      <c r="RRR13" s="513"/>
      <c r="RRS13" s="513"/>
      <c r="RRT13" s="513"/>
      <c r="RRU13" s="513"/>
      <c r="RRV13" s="513"/>
      <c r="RRW13" s="513"/>
      <c r="RRX13" s="513"/>
      <c r="RRY13" s="513"/>
      <c r="RRZ13" s="513"/>
      <c r="RSA13" s="513"/>
      <c r="RSB13" s="513"/>
      <c r="RSC13" s="513"/>
      <c r="RSD13" s="513"/>
      <c r="RSE13" s="513"/>
      <c r="RSF13" s="513"/>
      <c r="RSG13" s="513"/>
      <c r="RSH13" s="513"/>
      <c r="RSI13" s="513"/>
      <c r="RSJ13" s="513"/>
      <c r="RSK13" s="513"/>
      <c r="RSL13" s="513"/>
      <c r="RSM13" s="513"/>
      <c r="RSN13" s="513"/>
      <c r="RSO13" s="513"/>
      <c r="RSP13" s="513"/>
      <c r="RSQ13" s="513"/>
      <c r="RSR13" s="513"/>
      <c r="RSS13" s="513"/>
      <c r="RST13" s="513"/>
      <c r="RSU13" s="513"/>
      <c r="RSV13" s="513"/>
      <c r="RSW13" s="513"/>
      <c r="RSX13" s="513"/>
      <c r="RSY13" s="513"/>
      <c r="RSZ13" s="513"/>
      <c r="RTA13" s="513"/>
      <c r="RTB13" s="513"/>
      <c r="RTC13" s="513"/>
      <c r="RTD13" s="513"/>
      <c r="RTE13" s="513"/>
      <c r="RTF13" s="513"/>
      <c r="RTG13" s="513"/>
      <c r="RTH13" s="513"/>
      <c r="RTI13" s="513"/>
      <c r="RTJ13" s="513"/>
      <c r="RTK13" s="513"/>
      <c r="RTL13" s="513"/>
      <c r="RTM13" s="513"/>
      <c r="RTN13" s="513"/>
      <c r="RTO13" s="513"/>
      <c r="RTP13" s="513"/>
      <c r="RTQ13" s="513"/>
      <c r="RTR13" s="513"/>
      <c r="RTS13" s="513"/>
      <c r="RTT13" s="513"/>
      <c r="RTU13" s="513"/>
      <c r="RTV13" s="513"/>
      <c r="RTW13" s="513"/>
      <c r="RTX13" s="513"/>
      <c r="RTY13" s="513"/>
      <c r="RTZ13" s="513"/>
      <c r="RUA13" s="513"/>
      <c r="RUB13" s="513"/>
      <c r="RUC13" s="513"/>
      <c r="RUD13" s="513"/>
      <c r="RUE13" s="513"/>
      <c r="RUF13" s="513"/>
      <c r="RUG13" s="513"/>
      <c r="RUH13" s="513"/>
      <c r="RUI13" s="513"/>
      <c r="RUJ13" s="513"/>
      <c r="RUK13" s="513"/>
      <c r="RUL13" s="513"/>
      <c r="RUM13" s="513"/>
      <c r="RUN13" s="513"/>
      <c r="RUO13" s="513"/>
      <c r="RUP13" s="513"/>
      <c r="RUQ13" s="513"/>
      <c r="RUR13" s="513"/>
      <c r="RUS13" s="513"/>
      <c r="RUT13" s="513"/>
      <c r="RUU13" s="513"/>
      <c r="RUV13" s="513"/>
      <c r="RUW13" s="513"/>
      <c r="RUX13" s="513"/>
      <c r="RUY13" s="513"/>
      <c r="RUZ13" s="513"/>
      <c r="RVA13" s="513"/>
      <c r="RVB13" s="513"/>
      <c r="RVC13" s="513"/>
      <c r="RVD13" s="513"/>
      <c r="RVE13" s="513"/>
      <c r="RVF13" s="513"/>
      <c r="RVG13" s="513"/>
      <c r="RVH13" s="513"/>
      <c r="RVI13" s="513"/>
      <c r="RVJ13" s="513"/>
      <c r="RVK13" s="513"/>
      <c r="RVL13" s="513"/>
      <c r="RVM13" s="513"/>
      <c r="RVN13" s="513"/>
      <c r="RVO13" s="513"/>
      <c r="RVP13" s="513"/>
      <c r="RVQ13" s="513"/>
      <c r="RVR13" s="513"/>
      <c r="RVS13" s="513"/>
      <c r="RVT13" s="513"/>
      <c r="RVU13" s="513"/>
      <c r="RVV13" s="513"/>
      <c r="RVW13" s="513"/>
      <c r="RVX13" s="513"/>
      <c r="RVY13" s="513"/>
      <c r="RVZ13" s="513"/>
      <c r="RWA13" s="513"/>
      <c r="RWB13" s="513"/>
      <c r="RWC13" s="513"/>
      <c r="RWD13" s="513"/>
      <c r="RWE13" s="513"/>
      <c r="RWF13" s="513"/>
      <c r="RWG13" s="513"/>
      <c r="RWH13" s="513"/>
      <c r="RWI13" s="513"/>
      <c r="RWJ13" s="513"/>
      <c r="RWK13" s="513"/>
      <c r="RWL13" s="513"/>
      <c r="RWM13" s="513"/>
      <c r="RWN13" s="513"/>
      <c r="RWO13" s="513"/>
      <c r="RWP13" s="513"/>
      <c r="RWQ13" s="513"/>
      <c r="RWR13" s="513"/>
      <c r="RWS13" s="513"/>
      <c r="RWT13" s="513"/>
      <c r="RWU13" s="513"/>
      <c r="RWV13" s="513"/>
      <c r="RWW13" s="513"/>
      <c r="RWX13" s="513"/>
      <c r="RWY13" s="513"/>
      <c r="RWZ13" s="513"/>
      <c r="RXA13" s="513"/>
      <c r="RXB13" s="513"/>
      <c r="RXC13" s="513"/>
      <c r="RXD13" s="513"/>
      <c r="RXE13" s="513"/>
      <c r="RXF13" s="513"/>
      <c r="RXG13" s="513"/>
      <c r="RXH13" s="513"/>
      <c r="RXI13" s="513"/>
      <c r="RXJ13" s="513"/>
      <c r="RXK13" s="513"/>
      <c r="RXL13" s="513"/>
      <c r="RXM13" s="513"/>
      <c r="RXN13" s="513"/>
      <c r="RXO13" s="513"/>
      <c r="RXP13" s="513"/>
      <c r="RXQ13" s="513"/>
      <c r="RXR13" s="513"/>
      <c r="RXS13" s="513"/>
      <c r="RXT13" s="513"/>
      <c r="RXU13" s="513"/>
      <c r="RXV13" s="513"/>
      <c r="RXW13" s="513"/>
      <c r="RXX13" s="513"/>
      <c r="RXY13" s="513"/>
      <c r="RXZ13" s="513"/>
      <c r="RYA13" s="513"/>
      <c r="RYB13" s="513"/>
      <c r="RYC13" s="513"/>
      <c r="RYD13" s="513"/>
      <c r="RYE13" s="513"/>
      <c r="RYF13" s="513"/>
      <c r="RYG13" s="513"/>
      <c r="RYH13" s="513"/>
      <c r="RYI13" s="513"/>
      <c r="RYJ13" s="513"/>
      <c r="RYK13" s="513"/>
      <c r="RYL13" s="513"/>
      <c r="RYM13" s="513"/>
      <c r="RYN13" s="513"/>
      <c r="RYO13" s="513"/>
      <c r="RYP13" s="513"/>
      <c r="RYQ13" s="513"/>
      <c r="RYR13" s="513"/>
      <c r="RYS13" s="513"/>
      <c r="RYT13" s="513"/>
      <c r="RYU13" s="513"/>
      <c r="RYV13" s="513"/>
      <c r="RYW13" s="513"/>
      <c r="RYX13" s="513"/>
      <c r="RYY13" s="513"/>
      <c r="RYZ13" s="513"/>
      <c r="RZA13" s="513"/>
      <c r="RZB13" s="513"/>
      <c r="RZC13" s="513"/>
      <c r="RZD13" s="513"/>
      <c r="RZE13" s="513"/>
      <c r="RZF13" s="513"/>
      <c r="RZG13" s="513"/>
      <c r="RZH13" s="513"/>
      <c r="RZI13" s="513"/>
      <c r="RZJ13" s="513"/>
      <c r="RZK13" s="513"/>
      <c r="RZL13" s="513"/>
      <c r="RZM13" s="513"/>
      <c r="RZN13" s="513"/>
      <c r="RZO13" s="513"/>
      <c r="RZP13" s="513"/>
      <c r="RZQ13" s="513"/>
      <c r="RZR13" s="513"/>
      <c r="RZS13" s="513"/>
      <c r="RZT13" s="513"/>
      <c r="RZU13" s="513"/>
      <c r="RZV13" s="513"/>
      <c r="RZW13" s="513"/>
      <c r="RZX13" s="513"/>
      <c r="RZY13" s="513"/>
      <c r="RZZ13" s="513"/>
      <c r="SAA13" s="513"/>
      <c r="SAB13" s="513"/>
      <c r="SAC13" s="513"/>
      <c r="SAD13" s="513"/>
      <c r="SAE13" s="513"/>
      <c r="SAF13" s="513"/>
      <c r="SAG13" s="513"/>
      <c r="SAH13" s="513"/>
      <c r="SAI13" s="513"/>
      <c r="SAJ13" s="513"/>
      <c r="SAK13" s="513"/>
      <c r="SAL13" s="513"/>
      <c r="SAM13" s="513"/>
      <c r="SAN13" s="513"/>
      <c r="SAO13" s="513"/>
      <c r="SAP13" s="513"/>
      <c r="SAQ13" s="513"/>
      <c r="SAR13" s="513"/>
      <c r="SAS13" s="513"/>
      <c r="SAT13" s="513"/>
      <c r="SAU13" s="513"/>
      <c r="SAV13" s="513"/>
      <c r="SAW13" s="513"/>
      <c r="SAX13" s="513"/>
      <c r="SAY13" s="513"/>
      <c r="SAZ13" s="513"/>
      <c r="SBA13" s="513"/>
      <c r="SBB13" s="513"/>
      <c r="SBC13" s="513"/>
      <c r="SBD13" s="513"/>
      <c r="SBE13" s="513"/>
      <c r="SBF13" s="513"/>
      <c r="SBG13" s="513"/>
      <c r="SBH13" s="513"/>
      <c r="SBI13" s="513"/>
      <c r="SBJ13" s="513"/>
      <c r="SBK13" s="513"/>
      <c r="SBL13" s="513"/>
      <c r="SBM13" s="513"/>
      <c r="SBN13" s="513"/>
      <c r="SBO13" s="513"/>
      <c r="SBP13" s="513"/>
      <c r="SBQ13" s="513"/>
      <c r="SBR13" s="513"/>
      <c r="SBS13" s="513"/>
      <c r="SBT13" s="513"/>
      <c r="SBU13" s="513"/>
      <c r="SBV13" s="513"/>
      <c r="SBW13" s="513"/>
      <c r="SBX13" s="513"/>
      <c r="SBY13" s="513"/>
      <c r="SBZ13" s="513"/>
      <c r="SCA13" s="513"/>
      <c r="SCB13" s="513"/>
      <c r="SCC13" s="513"/>
      <c r="SCD13" s="513"/>
      <c r="SCE13" s="513"/>
      <c r="SCF13" s="513"/>
      <c r="SCG13" s="513"/>
      <c r="SCH13" s="513"/>
      <c r="SCI13" s="513"/>
      <c r="SCJ13" s="513"/>
      <c r="SCK13" s="513"/>
      <c r="SCL13" s="513"/>
      <c r="SCM13" s="513"/>
      <c r="SCN13" s="513"/>
      <c r="SCO13" s="513"/>
      <c r="SCP13" s="513"/>
      <c r="SCQ13" s="513"/>
      <c r="SCR13" s="513"/>
      <c r="SCS13" s="513"/>
      <c r="SCT13" s="513"/>
      <c r="SCU13" s="513"/>
      <c r="SCV13" s="513"/>
      <c r="SCW13" s="513"/>
      <c r="SCX13" s="513"/>
      <c r="SCY13" s="513"/>
      <c r="SCZ13" s="513"/>
      <c r="SDA13" s="513"/>
      <c r="SDB13" s="513"/>
      <c r="SDC13" s="513"/>
      <c r="SDD13" s="513"/>
      <c r="SDE13" s="513"/>
      <c r="SDF13" s="513"/>
      <c r="SDG13" s="513"/>
      <c r="SDH13" s="513"/>
      <c r="SDI13" s="513"/>
      <c r="SDJ13" s="513"/>
      <c r="SDK13" s="513"/>
      <c r="SDL13" s="513"/>
      <c r="SDM13" s="513"/>
      <c r="SDN13" s="513"/>
      <c r="SDO13" s="513"/>
      <c r="SDP13" s="513"/>
      <c r="SDQ13" s="513"/>
      <c r="SDR13" s="513"/>
      <c r="SDS13" s="513"/>
      <c r="SDT13" s="513"/>
      <c r="SDU13" s="513"/>
      <c r="SDV13" s="513"/>
      <c r="SDW13" s="513"/>
      <c r="SDX13" s="513"/>
      <c r="SDY13" s="513"/>
      <c r="SDZ13" s="513"/>
      <c r="SEA13" s="513"/>
      <c r="SEB13" s="513"/>
      <c r="SEC13" s="513"/>
      <c r="SED13" s="513"/>
      <c r="SEE13" s="513"/>
      <c r="SEF13" s="513"/>
      <c r="SEG13" s="513"/>
      <c r="SEH13" s="513"/>
      <c r="SEI13" s="513"/>
      <c r="SEJ13" s="513"/>
      <c r="SEK13" s="513"/>
      <c r="SEL13" s="513"/>
      <c r="SEM13" s="513"/>
      <c r="SEN13" s="513"/>
      <c r="SEO13" s="513"/>
      <c r="SEP13" s="513"/>
      <c r="SEQ13" s="513"/>
      <c r="SER13" s="513"/>
      <c r="SES13" s="513"/>
      <c r="SET13" s="513"/>
      <c r="SEU13" s="513"/>
      <c r="SEV13" s="513"/>
      <c r="SEW13" s="513"/>
      <c r="SEX13" s="513"/>
      <c r="SEY13" s="513"/>
      <c r="SEZ13" s="513"/>
      <c r="SFA13" s="513"/>
      <c r="SFB13" s="513"/>
      <c r="SFC13" s="513"/>
      <c r="SFD13" s="513"/>
      <c r="SFE13" s="513"/>
      <c r="SFF13" s="513"/>
      <c r="SFG13" s="513"/>
      <c r="SFH13" s="513"/>
      <c r="SFI13" s="513"/>
      <c r="SFJ13" s="513"/>
      <c r="SFK13" s="513"/>
      <c r="SFL13" s="513"/>
      <c r="SFM13" s="513"/>
      <c r="SFN13" s="513"/>
      <c r="SFO13" s="513"/>
      <c r="SFP13" s="513"/>
      <c r="SFQ13" s="513"/>
      <c r="SFR13" s="513"/>
      <c r="SFS13" s="513"/>
      <c r="SFT13" s="513"/>
      <c r="SFU13" s="513"/>
      <c r="SFV13" s="513"/>
      <c r="SFW13" s="513"/>
      <c r="SFX13" s="513"/>
      <c r="SFY13" s="513"/>
      <c r="SFZ13" s="513"/>
      <c r="SGA13" s="513"/>
      <c r="SGB13" s="513"/>
      <c r="SGC13" s="513"/>
      <c r="SGD13" s="513"/>
      <c r="SGE13" s="513"/>
      <c r="SGF13" s="513"/>
      <c r="SGG13" s="513"/>
      <c r="SGH13" s="513"/>
      <c r="SGI13" s="513"/>
      <c r="SGJ13" s="513"/>
      <c r="SGK13" s="513"/>
      <c r="SGL13" s="513"/>
      <c r="SGM13" s="513"/>
      <c r="SGN13" s="513"/>
      <c r="SGO13" s="513"/>
      <c r="SGP13" s="513"/>
      <c r="SGQ13" s="513"/>
      <c r="SGR13" s="513"/>
      <c r="SGS13" s="513"/>
      <c r="SGT13" s="513"/>
      <c r="SGU13" s="513"/>
      <c r="SGV13" s="513"/>
      <c r="SGW13" s="513"/>
      <c r="SGX13" s="513"/>
      <c r="SGY13" s="513"/>
      <c r="SGZ13" s="513"/>
      <c r="SHA13" s="513"/>
      <c r="SHB13" s="513"/>
      <c r="SHC13" s="513"/>
      <c r="SHD13" s="513"/>
      <c r="SHE13" s="513"/>
      <c r="SHF13" s="513"/>
      <c r="SHG13" s="513"/>
      <c r="SHH13" s="513"/>
      <c r="SHI13" s="513"/>
      <c r="SHJ13" s="513"/>
      <c r="SHK13" s="513"/>
      <c r="SHL13" s="513"/>
      <c r="SHM13" s="513"/>
      <c r="SHN13" s="513"/>
      <c r="SHO13" s="513"/>
      <c r="SHP13" s="513"/>
      <c r="SHQ13" s="513"/>
      <c r="SHR13" s="513"/>
      <c r="SHS13" s="513"/>
      <c r="SHT13" s="513"/>
      <c r="SHU13" s="513"/>
      <c r="SHV13" s="513"/>
      <c r="SHW13" s="513"/>
      <c r="SHX13" s="513"/>
      <c r="SHY13" s="513"/>
      <c r="SHZ13" s="513"/>
      <c r="SIA13" s="513"/>
      <c r="SIB13" s="513"/>
      <c r="SIC13" s="513"/>
      <c r="SID13" s="513"/>
      <c r="SIE13" s="513"/>
      <c r="SIF13" s="513"/>
      <c r="SIG13" s="513"/>
      <c r="SIH13" s="513"/>
      <c r="SII13" s="513"/>
      <c r="SIJ13" s="513"/>
      <c r="SIK13" s="513"/>
      <c r="SIL13" s="513"/>
      <c r="SIM13" s="513"/>
      <c r="SIN13" s="513"/>
      <c r="SIO13" s="513"/>
      <c r="SIP13" s="513"/>
      <c r="SIQ13" s="513"/>
      <c r="SIR13" s="513"/>
      <c r="SIS13" s="513"/>
      <c r="SIT13" s="513"/>
      <c r="SIU13" s="513"/>
      <c r="SIV13" s="513"/>
      <c r="SIW13" s="513"/>
      <c r="SIX13" s="513"/>
      <c r="SIY13" s="513"/>
      <c r="SIZ13" s="513"/>
      <c r="SJA13" s="513"/>
      <c r="SJB13" s="513"/>
      <c r="SJC13" s="513"/>
      <c r="SJD13" s="513"/>
      <c r="SJE13" s="513"/>
      <c r="SJF13" s="513"/>
      <c r="SJG13" s="513"/>
      <c r="SJH13" s="513"/>
      <c r="SJI13" s="513"/>
      <c r="SJJ13" s="513"/>
      <c r="SJK13" s="513"/>
      <c r="SJL13" s="513"/>
      <c r="SJM13" s="513"/>
      <c r="SJN13" s="513"/>
      <c r="SJO13" s="513"/>
      <c r="SJP13" s="513"/>
      <c r="SJQ13" s="513"/>
      <c r="SJR13" s="513"/>
      <c r="SJS13" s="513"/>
      <c r="SJT13" s="513"/>
      <c r="SJU13" s="513"/>
      <c r="SJV13" s="513"/>
      <c r="SJW13" s="513"/>
      <c r="SJX13" s="513"/>
      <c r="SJY13" s="513"/>
      <c r="SJZ13" s="513"/>
      <c r="SKA13" s="513"/>
      <c r="SKB13" s="513"/>
      <c r="SKC13" s="513"/>
      <c r="SKD13" s="513"/>
      <c r="SKE13" s="513"/>
      <c r="SKF13" s="513"/>
      <c r="SKG13" s="513"/>
      <c r="SKH13" s="513"/>
      <c r="SKI13" s="513"/>
      <c r="SKJ13" s="513"/>
      <c r="SKK13" s="513"/>
      <c r="SKL13" s="513"/>
      <c r="SKM13" s="513"/>
      <c r="SKN13" s="513"/>
      <c r="SKO13" s="513"/>
      <c r="SKP13" s="513"/>
      <c r="SKQ13" s="513"/>
      <c r="SKR13" s="513"/>
      <c r="SKS13" s="513"/>
      <c r="SKT13" s="513"/>
      <c r="SKU13" s="513"/>
      <c r="SKV13" s="513"/>
      <c r="SKW13" s="513"/>
      <c r="SKX13" s="513"/>
      <c r="SKY13" s="513"/>
      <c r="SKZ13" s="513"/>
      <c r="SLA13" s="513"/>
      <c r="SLB13" s="513"/>
      <c r="SLC13" s="513"/>
      <c r="SLD13" s="513"/>
      <c r="SLE13" s="513"/>
      <c r="SLF13" s="513"/>
      <c r="SLG13" s="513"/>
      <c r="SLH13" s="513"/>
      <c r="SLI13" s="513"/>
      <c r="SLJ13" s="513"/>
      <c r="SLK13" s="513"/>
      <c r="SLL13" s="513"/>
      <c r="SLM13" s="513"/>
      <c r="SLN13" s="513"/>
      <c r="SLO13" s="513"/>
      <c r="SLP13" s="513"/>
      <c r="SLQ13" s="513"/>
      <c r="SLR13" s="513"/>
      <c r="SLS13" s="513"/>
      <c r="SLT13" s="513"/>
      <c r="SLU13" s="513"/>
      <c r="SLV13" s="513"/>
      <c r="SLW13" s="513"/>
      <c r="SLX13" s="513"/>
      <c r="SLY13" s="513"/>
      <c r="SLZ13" s="513"/>
      <c r="SMA13" s="513"/>
      <c r="SMB13" s="513"/>
      <c r="SMC13" s="513"/>
      <c r="SMD13" s="513"/>
      <c r="SME13" s="513"/>
      <c r="SMF13" s="513"/>
      <c r="SMG13" s="513"/>
      <c r="SMH13" s="513"/>
      <c r="SMI13" s="513"/>
      <c r="SMJ13" s="513"/>
      <c r="SMK13" s="513"/>
      <c r="SML13" s="513"/>
      <c r="SMM13" s="513"/>
      <c r="SMN13" s="513"/>
      <c r="SMO13" s="513"/>
      <c r="SMP13" s="513"/>
      <c r="SMQ13" s="513"/>
      <c r="SMR13" s="513"/>
      <c r="SMS13" s="513"/>
      <c r="SMT13" s="513"/>
      <c r="SMU13" s="513"/>
      <c r="SMV13" s="513"/>
      <c r="SMW13" s="513"/>
      <c r="SMX13" s="513"/>
      <c r="SMY13" s="513"/>
      <c r="SMZ13" s="513"/>
      <c r="SNA13" s="513"/>
      <c r="SNB13" s="513"/>
      <c r="SNC13" s="513"/>
      <c r="SND13" s="513"/>
      <c r="SNE13" s="513"/>
      <c r="SNF13" s="513"/>
      <c r="SNG13" s="513"/>
      <c r="SNH13" s="513"/>
      <c r="SNI13" s="513"/>
      <c r="SNJ13" s="513"/>
      <c r="SNK13" s="513"/>
      <c r="SNL13" s="513"/>
      <c r="SNM13" s="513"/>
      <c r="SNN13" s="513"/>
      <c r="SNO13" s="513"/>
      <c r="SNP13" s="513"/>
      <c r="SNQ13" s="513"/>
      <c r="SNR13" s="513"/>
      <c r="SNS13" s="513"/>
      <c r="SNT13" s="513"/>
      <c r="SNU13" s="513"/>
      <c r="SNV13" s="513"/>
      <c r="SNW13" s="513"/>
      <c r="SNX13" s="513"/>
      <c r="SNY13" s="513"/>
      <c r="SNZ13" s="513"/>
      <c r="SOA13" s="513"/>
      <c r="SOB13" s="513"/>
      <c r="SOC13" s="513"/>
      <c r="SOD13" s="513"/>
      <c r="SOE13" s="513"/>
      <c r="SOF13" s="513"/>
      <c r="SOG13" s="513"/>
      <c r="SOH13" s="513"/>
      <c r="SOI13" s="513"/>
      <c r="SOJ13" s="513"/>
      <c r="SOK13" s="513"/>
      <c r="SOL13" s="513"/>
      <c r="SOM13" s="513"/>
      <c r="SON13" s="513"/>
      <c r="SOO13" s="513"/>
      <c r="SOP13" s="513"/>
      <c r="SOQ13" s="513"/>
      <c r="SOR13" s="513"/>
      <c r="SOS13" s="513"/>
      <c r="SOT13" s="513"/>
      <c r="SOU13" s="513"/>
      <c r="SOV13" s="513"/>
      <c r="SOW13" s="513"/>
      <c r="SOX13" s="513"/>
      <c r="SOY13" s="513"/>
      <c r="SOZ13" s="513"/>
      <c r="SPA13" s="513"/>
      <c r="SPB13" s="513"/>
      <c r="SPC13" s="513"/>
      <c r="SPD13" s="513"/>
      <c r="SPE13" s="513"/>
      <c r="SPF13" s="513"/>
      <c r="SPG13" s="513"/>
      <c r="SPH13" s="513"/>
      <c r="SPI13" s="513"/>
      <c r="SPJ13" s="513"/>
      <c r="SPK13" s="513"/>
      <c r="SPL13" s="513"/>
      <c r="SPM13" s="513"/>
      <c r="SPN13" s="513"/>
      <c r="SPO13" s="513"/>
      <c r="SPP13" s="513"/>
      <c r="SPQ13" s="513"/>
      <c r="SPR13" s="513"/>
      <c r="SPS13" s="513"/>
      <c r="SPT13" s="513"/>
      <c r="SPU13" s="513"/>
      <c r="SPV13" s="513"/>
      <c r="SPW13" s="513"/>
      <c r="SPX13" s="513"/>
      <c r="SPY13" s="513"/>
      <c r="SPZ13" s="513"/>
      <c r="SQA13" s="513"/>
      <c r="SQB13" s="513"/>
      <c r="SQC13" s="513"/>
      <c r="SQD13" s="513"/>
      <c r="SQE13" s="513"/>
      <c r="SQF13" s="513"/>
      <c r="SQG13" s="513"/>
      <c r="SQH13" s="513"/>
      <c r="SQI13" s="513"/>
      <c r="SQJ13" s="513"/>
      <c r="SQK13" s="513"/>
      <c r="SQL13" s="513"/>
      <c r="SQM13" s="513"/>
      <c r="SQN13" s="513"/>
      <c r="SQO13" s="513"/>
      <c r="SQP13" s="513"/>
      <c r="SQQ13" s="513"/>
      <c r="SQR13" s="513"/>
      <c r="SQS13" s="513"/>
      <c r="SQT13" s="513"/>
      <c r="SQU13" s="513"/>
      <c r="SQV13" s="513"/>
      <c r="SQW13" s="513"/>
      <c r="SQX13" s="513"/>
      <c r="SQY13" s="513"/>
      <c r="SQZ13" s="513"/>
      <c r="SRA13" s="513"/>
      <c r="SRB13" s="513"/>
      <c r="SRC13" s="513"/>
      <c r="SRD13" s="513"/>
      <c r="SRE13" s="513"/>
      <c r="SRF13" s="513"/>
      <c r="SRG13" s="513"/>
      <c r="SRH13" s="513"/>
      <c r="SRI13" s="513"/>
      <c r="SRJ13" s="513"/>
      <c r="SRK13" s="513"/>
      <c r="SRL13" s="513"/>
      <c r="SRM13" s="513"/>
      <c r="SRN13" s="513"/>
      <c r="SRO13" s="513"/>
      <c r="SRP13" s="513"/>
      <c r="SRQ13" s="513"/>
      <c r="SRR13" s="513"/>
      <c r="SRS13" s="513"/>
      <c r="SRT13" s="513"/>
      <c r="SRU13" s="513"/>
      <c r="SRV13" s="513"/>
      <c r="SRW13" s="513"/>
      <c r="SRX13" s="513"/>
      <c r="SRY13" s="513"/>
      <c r="SRZ13" s="513"/>
      <c r="SSA13" s="513"/>
      <c r="SSB13" s="513"/>
      <c r="SSC13" s="513"/>
      <c r="SSD13" s="513"/>
      <c r="SSE13" s="513"/>
      <c r="SSF13" s="513"/>
      <c r="SSG13" s="513"/>
      <c r="SSH13" s="513"/>
      <c r="SSI13" s="513"/>
      <c r="SSJ13" s="513"/>
      <c r="SSK13" s="513"/>
      <c r="SSL13" s="513"/>
      <c r="SSM13" s="513"/>
      <c r="SSN13" s="513"/>
      <c r="SSO13" s="513"/>
      <c r="SSP13" s="513"/>
      <c r="SSQ13" s="513"/>
      <c r="SSR13" s="513"/>
      <c r="SSS13" s="513"/>
      <c r="SST13" s="513"/>
      <c r="SSU13" s="513"/>
      <c r="SSV13" s="513"/>
      <c r="SSW13" s="513"/>
      <c r="SSX13" s="513"/>
      <c r="SSY13" s="513"/>
      <c r="SSZ13" s="513"/>
      <c r="STA13" s="513"/>
      <c r="STB13" s="513"/>
      <c r="STC13" s="513"/>
      <c r="STD13" s="513"/>
      <c r="STE13" s="513"/>
      <c r="STF13" s="513"/>
      <c r="STG13" s="513"/>
      <c r="STH13" s="513"/>
      <c r="STI13" s="513"/>
      <c r="STJ13" s="513"/>
      <c r="STK13" s="513"/>
      <c r="STL13" s="513"/>
      <c r="STM13" s="513"/>
      <c r="STN13" s="513"/>
      <c r="STO13" s="513"/>
      <c r="STP13" s="513"/>
      <c r="STQ13" s="513"/>
      <c r="STR13" s="513"/>
      <c r="STS13" s="513"/>
      <c r="STT13" s="513"/>
      <c r="STU13" s="513"/>
      <c r="STV13" s="513"/>
      <c r="STW13" s="513"/>
      <c r="STX13" s="513"/>
      <c r="STY13" s="513"/>
      <c r="STZ13" s="513"/>
      <c r="SUA13" s="513"/>
      <c r="SUB13" s="513"/>
      <c r="SUC13" s="513"/>
      <c r="SUD13" s="513"/>
      <c r="SUE13" s="513"/>
      <c r="SUF13" s="513"/>
      <c r="SUG13" s="513"/>
      <c r="SUH13" s="513"/>
      <c r="SUI13" s="513"/>
      <c r="SUJ13" s="513"/>
      <c r="SUK13" s="513"/>
      <c r="SUL13" s="513"/>
      <c r="SUM13" s="513"/>
      <c r="SUN13" s="513"/>
      <c r="SUO13" s="513"/>
      <c r="SUP13" s="513"/>
      <c r="SUQ13" s="513"/>
      <c r="SUR13" s="513"/>
      <c r="SUS13" s="513"/>
      <c r="SUT13" s="513"/>
      <c r="SUU13" s="513"/>
      <c r="SUV13" s="513"/>
      <c r="SUW13" s="513"/>
      <c r="SUX13" s="513"/>
      <c r="SUY13" s="513"/>
      <c r="SUZ13" s="513"/>
      <c r="SVA13" s="513"/>
      <c r="SVB13" s="513"/>
      <c r="SVC13" s="513"/>
      <c r="SVD13" s="513"/>
      <c r="SVE13" s="513"/>
      <c r="SVF13" s="513"/>
      <c r="SVG13" s="513"/>
      <c r="SVH13" s="513"/>
      <c r="SVI13" s="513"/>
      <c r="SVJ13" s="513"/>
      <c r="SVK13" s="513"/>
      <c r="SVL13" s="513"/>
      <c r="SVM13" s="513"/>
      <c r="SVN13" s="513"/>
      <c r="SVO13" s="513"/>
      <c r="SVP13" s="513"/>
      <c r="SVQ13" s="513"/>
      <c r="SVR13" s="513"/>
      <c r="SVS13" s="513"/>
      <c r="SVT13" s="513"/>
      <c r="SVU13" s="513"/>
      <c r="SVV13" s="513"/>
      <c r="SVW13" s="513"/>
      <c r="SVX13" s="513"/>
      <c r="SVY13" s="513"/>
      <c r="SVZ13" s="513"/>
      <c r="SWA13" s="513"/>
      <c r="SWB13" s="513"/>
      <c r="SWC13" s="513"/>
      <c r="SWD13" s="513"/>
      <c r="SWE13" s="513"/>
      <c r="SWF13" s="513"/>
      <c r="SWG13" s="513"/>
      <c r="SWH13" s="513"/>
      <c r="SWI13" s="513"/>
      <c r="SWJ13" s="513"/>
      <c r="SWK13" s="513"/>
      <c r="SWL13" s="513"/>
      <c r="SWM13" s="513"/>
      <c r="SWN13" s="513"/>
      <c r="SWO13" s="513"/>
      <c r="SWP13" s="513"/>
      <c r="SWQ13" s="513"/>
      <c r="SWR13" s="513"/>
      <c r="SWS13" s="513"/>
      <c r="SWT13" s="513"/>
      <c r="SWU13" s="513"/>
      <c r="SWV13" s="513"/>
      <c r="SWW13" s="513"/>
      <c r="SWX13" s="513"/>
      <c r="SWY13" s="513"/>
      <c r="SWZ13" s="513"/>
      <c r="SXA13" s="513"/>
      <c r="SXB13" s="513"/>
      <c r="SXC13" s="513"/>
      <c r="SXD13" s="513"/>
      <c r="SXE13" s="513"/>
      <c r="SXF13" s="513"/>
      <c r="SXG13" s="513"/>
      <c r="SXH13" s="513"/>
      <c r="SXI13" s="513"/>
      <c r="SXJ13" s="513"/>
      <c r="SXK13" s="513"/>
      <c r="SXL13" s="513"/>
      <c r="SXM13" s="513"/>
      <c r="SXN13" s="513"/>
      <c r="SXO13" s="513"/>
      <c r="SXP13" s="513"/>
      <c r="SXQ13" s="513"/>
      <c r="SXR13" s="513"/>
      <c r="SXS13" s="513"/>
      <c r="SXT13" s="513"/>
      <c r="SXU13" s="513"/>
      <c r="SXV13" s="513"/>
      <c r="SXW13" s="513"/>
      <c r="SXX13" s="513"/>
      <c r="SXY13" s="513"/>
      <c r="SXZ13" s="513"/>
      <c r="SYA13" s="513"/>
      <c r="SYB13" s="513"/>
      <c r="SYC13" s="513"/>
      <c r="SYD13" s="513"/>
      <c r="SYE13" s="513"/>
      <c r="SYF13" s="513"/>
      <c r="SYG13" s="513"/>
      <c r="SYH13" s="513"/>
      <c r="SYI13" s="513"/>
      <c r="SYJ13" s="513"/>
      <c r="SYK13" s="513"/>
      <c r="SYL13" s="513"/>
      <c r="SYM13" s="513"/>
      <c r="SYN13" s="513"/>
      <c r="SYO13" s="513"/>
      <c r="SYP13" s="513"/>
      <c r="SYQ13" s="513"/>
      <c r="SYR13" s="513"/>
      <c r="SYS13" s="513"/>
      <c r="SYT13" s="513"/>
      <c r="SYU13" s="513"/>
      <c r="SYV13" s="513"/>
      <c r="SYW13" s="513"/>
      <c r="SYX13" s="513"/>
      <c r="SYY13" s="513"/>
      <c r="SYZ13" s="513"/>
      <c r="SZA13" s="513"/>
      <c r="SZB13" s="513"/>
      <c r="SZC13" s="513"/>
      <c r="SZD13" s="513"/>
      <c r="SZE13" s="513"/>
      <c r="SZF13" s="513"/>
      <c r="SZG13" s="513"/>
      <c r="SZH13" s="513"/>
      <c r="SZI13" s="513"/>
      <c r="SZJ13" s="513"/>
      <c r="SZK13" s="513"/>
      <c r="SZL13" s="513"/>
      <c r="SZM13" s="513"/>
      <c r="SZN13" s="513"/>
      <c r="SZO13" s="513"/>
      <c r="SZP13" s="513"/>
      <c r="SZQ13" s="513"/>
      <c r="SZR13" s="513"/>
      <c r="SZS13" s="513"/>
      <c r="SZT13" s="513"/>
      <c r="SZU13" s="513"/>
      <c r="SZV13" s="513"/>
      <c r="SZW13" s="513"/>
      <c r="SZX13" s="513"/>
      <c r="SZY13" s="513"/>
      <c r="SZZ13" s="513"/>
      <c r="TAA13" s="513"/>
      <c r="TAB13" s="513"/>
      <c r="TAC13" s="513"/>
      <c r="TAD13" s="513"/>
      <c r="TAE13" s="513"/>
      <c r="TAF13" s="513"/>
      <c r="TAG13" s="513"/>
      <c r="TAH13" s="513"/>
      <c r="TAI13" s="513"/>
      <c r="TAJ13" s="513"/>
      <c r="TAK13" s="513"/>
      <c r="TAL13" s="513"/>
      <c r="TAM13" s="513"/>
      <c r="TAN13" s="513"/>
      <c r="TAO13" s="513"/>
      <c r="TAP13" s="513"/>
      <c r="TAQ13" s="513"/>
      <c r="TAR13" s="513"/>
      <c r="TAS13" s="513"/>
      <c r="TAT13" s="513"/>
      <c r="TAU13" s="513"/>
      <c r="TAV13" s="513"/>
      <c r="TAW13" s="513"/>
      <c r="TAX13" s="513"/>
      <c r="TAY13" s="513"/>
      <c r="TAZ13" s="513"/>
      <c r="TBA13" s="513"/>
      <c r="TBB13" s="513"/>
      <c r="TBC13" s="513"/>
      <c r="TBD13" s="513"/>
      <c r="TBE13" s="513"/>
      <c r="TBF13" s="513"/>
      <c r="TBG13" s="513"/>
      <c r="TBH13" s="513"/>
      <c r="TBI13" s="513"/>
      <c r="TBJ13" s="513"/>
      <c r="TBK13" s="513"/>
      <c r="TBL13" s="513"/>
      <c r="TBM13" s="513"/>
      <c r="TBN13" s="513"/>
      <c r="TBO13" s="513"/>
      <c r="TBP13" s="513"/>
      <c r="TBQ13" s="513"/>
      <c r="TBR13" s="513"/>
      <c r="TBS13" s="513"/>
      <c r="TBT13" s="513"/>
      <c r="TBU13" s="513"/>
      <c r="TBV13" s="513"/>
      <c r="TBW13" s="513"/>
      <c r="TBX13" s="513"/>
      <c r="TBY13" s="513"/>
      <c r="TBZ13" s="513"/>
      <c r="TCA13" s="513"/>
      <c r="TCB13" s="513"/>
      <c r="TCC13" s="513"/>
      <c r="TCD13" s="513"/>
      <c r="TCE13" s="513"/>
      <c r="TCF13" s="513"/>
      <c r="TCG13" s="513"/>
      <c r="TCH13" s="513"/>
      <c r="TCI13" s="513"/>
      <c r="TCJ13" s="513"/>
      <c r="TCK13" s="513"/>
      <c r="TCL13" s="513"/>
      <c r="TCM13" s="513"/>
      <c r="TCN13" s="513"/>
      <c r="TCO13" s="513"/>
      <c r="TCP13" s="513"/>
      <c r="TCQ13" s="513"/>
      <c r="TCR13" s="513"/>
      <c r="TCS13" s="513"/>
      <c r="TCT13" s="513"/>
      <c r="TCU13" s="513"/>
      <c r="TCV13" s="513"/>
      <c r="TCW13" s="513"/>
      <c r="TCX13" s="513"/>
      <c r="TCY13" s="513"/>
      <c r="TCZ13" s="513"/>
      <c r="TDA13" s="513"/>
      <c r="TDB13" s="513"/>
      <c r="TDC13" s="513"/>
      <c r="TDD13" s="513"/>
      <c r="TDE13" s="513"/>
      <c r="TDF13" s="513"/>
      <c r="TDG13" s="513"/>
      <c r="TDH13" s="513"/>
      <c r="TDI13" s="513"/>
      <c r="TDJ13" s="513"/>
      <c r="TDK13" s="513"/>
      <c r="TDL13" s="513"/>
      <c r="TDM13" s="513"/>
      <c r="TDN13" s="513"/>
      <c r="TDO13" s="513"/>
      <c r="TDP13" s="513"/>
      <c r="TDQ13" s="513"/>
      <c r="TDR13" s="513"/>
      <c r="TDS13" s="513"/>
      <c r="TDT13" s="513"/>
      <c r="TDU13" s="513"/>
      <c r="TDV13" s="513"/>
      <c r="TDW13" s="513"/>
      <c r="TDX13" s="513"/>
      <c r="TDY13" s="513"/>
      <c r="TDZ13" s="513"/>
      <c r="TEA13" s="513"/>
      <c r="TEB13" s="513"/>
      <c r="TEC13" s="513"/>
      <c r="TED13" s="513"/>
      <c r="TEE13" s="513"/>
      <c r="TEF13" s="513"/>
      <c r="TEG13" s="513"/>
      <c r="TEH13" s="513"/>
      <c r="TEI13" s="513"/>
      <c r="TEJ13" s="513"/>
      <c r="TEK13" s="513"/>
      <c r="TEL13" s="513"/>
      <c r="TEM13" s="513"/>
      <c r="TEN13" s="513"/>
      <c r="TEO13" s="513"/>
      <c r="TEP13" s="513"/>
      <c r="TEQ13" s="513"/>
      <c r="TER13" s="513"/>
      <c r="TES13" s="513"/>
      <c r="TET13" s="513"/>
      <c r="TEU13" s="513"/>
      <c r="TEV13" s="513"/>
      <c r="TEW13" s="513"/>
      <c r="TEX13" s="513"/>
      <c r="TEY13" s="513"/>
      <c r="TEZ13" s="513"/>
      <c r="TFA13" s="513"/>
      <c r="TFB13" s="513"/>
      <c r="TFC13" s="513"/>
      <c r="TFD13" s="513"/>
      <c r="TFE13" s="513"/>
      <c r="TFF13" s="513"/>
      <c r="TFG13" s="513"/>
      <c r="TFH13" s="513"/>
      <c r="TFI13" s="513"/>
      <c r="TFJ13" s="513"/>
      <c r="TFK13" s="513"/>
      <c r="TFL13" s="513"/>
      <c r="TFM13" s="513"/>
      <c r="TFN13" s="513"/>
      <c r="TFO13" s="513"/>
      <c r="TFP13" s="513"/>
      <c r="TFQ13" s="513"/>
      <c r="TFR13" s="513"/>
      <c r="TFS13" s="513"/>
      <c r="TFT13" s="513"/>
      <c r="TFU13" s="513"/>
      <c r="TFV13" s="513"/>
      <c r="TFW13" s="513"/>
      <c r="TFX13" s="513"/>
      <c r="TFY13" s="513"/>
      <c r="TFZ13" s="513"/>
      <c r="TGA13" s="513"/>
      <c r="TGB13" s="513"/>
      <c r="TGC13" s="513"/>
      <c r="TGD13" s="513"/>
      <c r="TGE13" s="513"/>
      <c r="TGF13" s="513"/>
      <c r="TGG13" s="513"/>
      <c r="TGH13" s="513"/>
      <c r="TGI13" s="513"/>
      <c r="TGJ13" s="513"/>
      <c r="TGK13" s="513"/>
      <c r="TGL13" s="513"/>
      <c r="TGM13" s="513"/>
      <c r="TGN13" s="513"/>
      <c r="TGO13" s="513"/>
      <c r="TGP13" s="513"/>
      <c r="TGQ13" s="513"/>
      <c r="TGR13" s="513"/>
      <c r="TGS13" s="513"/>
      <c r="TGT13" s="513"/>
      <c r="TGU13" s="513"/>
      <c r="TGV13" s="513"/>
      <c r="TGW13" s="513"/>
      <c r="TGX13" s="513"/>
      <c r="TGY13" s="513"/>
      <c r="TGZ13" s="513"/>
      <c r="THA13" s="513"/>
      <c r="THB13" s="513"/>
      <c r="THC13" s="513"/>
      <c r="THD13" s="513"/>
      <c r="THE13" s="513"/>
      <c r="THF13" s="513"/>
      <c r="THG13" s="513"/>
      <c r="THH13" s="513"/>
      <c r="THI13" s="513"/>
      <c r="THJ13" s="513"/>
      <c r="THK13" s="513"/>
      <c r="THL13" s="513"/>
      <c r="THM13" s="513"/>
      <c r="THN13" s="513"/>
      <c r="THO13" s="513"/>
      <c r="THP13" s="513"/>
      <c r="THQ13" s="513"/>
      <c r="THR13" s="513"/>
      <c r="THS13" s="513"/>
      <c r="THT13" s="513"/>
      <c r="THU13" s="513"/>
      <c r="THV13" s="513"/>
      <c r="THW13" s="513"/>
      <c r="THX13" s="513"/>
      <c r="THY13" s="513"/>
      <c r="THZ13" s="513"/>
      <c r="TIA13" s="513"/>
      <c r="TIB13" s="513"/>
      <c r="TIC13" s="513"/>
      <c r="TID13" s="513"/>
      <c r="TIE13" s="513"/>
      <c r="TIF13" s="513"/>
      <c r="TIG13" s="513"/>
      <c r="TIH13" s="513"/>
      <c r="TII13" s="513"/>
      <c r="TIJ13" s="513"/>
      <c r="TIK13" s="513"/>
      <c r="TIL13" s="513"/>
      <c r="TIM13" s="513"/>
      <c r="TIN13" s="513"/>
      <c r="TIO13" s="513"/>
      <c r="TIP13" s="513"/>
      <c r="TIQ13" s="513"/>
      <c r="TIR13" s="513"/>
      <c r="TIS13" s="513"/>
      <c r="TIT13" s="513"/>
      <c r="TIU13" s="513"/>
      <c r="TIV13" s="513"/>
      <c r="TIW13" s="513"/>
      <c r="TIX13" s="513"/>
      <c r="TIY13" s="513"/>
      <c r="TIZ13" s="513"/>
      <c r="TJA13" s="513"/>
      <c r="TJB13" s="513"/>
      <c r="TJC13" s="513"/>
      <c r="TJD13" s="513"/>
      <c r="TJE13" s="513"/>
      <c r="TJF13" s="513"/>
      <c r="TJG13" s="513"/>
      <c r="TJH13" s="513"/>
      <c r="TJI13" s="513"/>
      <c r="TJJ13" s="513"/>
      <c r="TJK13" s="513"/>
      <c r="TJL13" s="513"/>
      <c r="TJM13" s="513"/>
      <c r="TJN13" s="513"/>
      <c r="TJO13" s="513"/>
      <c r="TJP13" s="513"/>
      <c r="TJQ13" s="513"/>
      <c r="TJR13" s="513"/>
      <c r="TJS13" s="513"/>
      <c r="TJT13" s="513"/>
      <c r="TJU13" s="513"/>
      <c r="TJV13" s="513"/>
      <c r="TJW13" s="513"/>
      <c r="TJX13" s="513"/>
      <c r="TJY13" s="513"/>
      <c r="TJZ13" s="513"/>
      <c r="TKA13" s="513"/>
      <c r="TKB13" s="513"/>
      <c r="TKC13" s="513"/>
      <c r="TKD13" s="513"/>
      <c r="TKE13" s="513"/>
      <c r="TKF13" s="513"/>
      <c r="TKG13" s="513"/>
      <c r="TKH13" s="513"/>
      <c r="TKI13" s="513"/>
      <c r="TKJ13" s="513"/>
      <c r="TKK13" s="513"/>
      <c r="TKL13" s="513"/>
      <c r="TKM13" s="513"/>
      <c r="TKN13" s="513"/>
      <c r="TKO13" s="513"/>
      <c r="TKP13" s="513"/>
      <c r="TKQ13" s="513"/>
      <c r="TKR13" s="513"/>
      <c r="TKS13" s="513"/>
      <c r="TKT13" s="513"/>
      <c r="TKU13" s="513"/>
      <c r="TKV13" s="513"/>
      <c r="TKW13" s="513"/>
      <c r="TKX13" s="513"/>
      <c r="TKY13" s="513"/>
      <c r="TKZ13" s="513"/>
      <c r="TLA13" s="513"/>
      <c r="TLB13" s="513"/>
      <c r="TLC13" s="513"/>
      <c r="TLD13" s="513"/>
      <c r="TLE13" s="513"/>
      <c r="TLF13" s="513"/>
      <c r="TLG13" s="513"/>
      <c r="TLH13" s="513"/>
      <c r="TLI13" s="513"/>
      <c r="TLJ13" s="513"/>
      <c r="TLK13" s="513"/>
      <c r="TLL13" s="513"/>
      <c r="TLM13" s="513"/>
      <c r="TLN13" s="513"/>
      <c r="TLO13" s="513"/>
      <c r="TLP13" s="513"/>
      <c r="TLQ13" s="513"/>
      <c r="TLR13" s="513"/>
      <c r="TLS13" s="513"/>
      <c r="TLT13" s="513"/>
      <c r="TLU13" s="513"/>
      <c r="TLV13" s="513"/>
      <c r="TLW13" s="513"/>
      <c r="TLX13" s="513"/>
      <c r="TLY13" s="513"/>
      <c r="TLZ13" s="513"/>
      <c r="TMA13" s="513"/>
      <c r="TMB13" s="513"/>
      <c r="TMC13" s="513"/>
      <c r="TMD13" s="513"/>
      <c r="TME13" s="513"/>
      <c r="TMF13" s="513"/>
      <c r="TMG13" s="513"/>
      <c r="TMH13" s="513"/>
      <c r="TMI13" s="513"/>
      <c r="TMJ13" s="513"/>
      <c r="TMK13" s="513"/>
      <c r="TML13" s="513"/>
      <c r="TMM13" s="513"/>
      <c r="TMN13" s="513"/>
      <c r="TMO13" s="513"/>
      <c r="TMP13" s="513"/>
      <c r="TMQ13" s="513"/>
      <c r="TMR13" s="513"/>
      <c r="TMS13" s="513"/>
      <c r="TMT13" s="513"/>
      <c r="TMU13" s="513"/>
      <c r="TMV13" s="513"/>
      <c r="TMW13" s="513"/>
      <c r="TMX13" s="513"/>
      <c r="TMY13" s="513"/>
      <c r="TMZ13" s="513"/>
      <c r="TNA13" s="513"/>
      <c r="TNB13" s="513"/>
      <c r="TNC13" s="513"/>
      <c r="TND13" s="513"/>
      <c r="TNE13" s="513"/>
      <c r="TNF13" s="513"/>
      <c r="TNG13" s="513"/>
      <c r="TNH13" s="513"/>
      <c r="TNI13" s="513"/>
      <c r="TNJ13" s="513"/>
      <c r="TNK13" s="513"/>
      <c r="TNL13" s="513"/>
      <c r="TNM13" s="513"/>
      <c r="TNN13" s="513"/>
      <c r="TNO13" s="513"/>
      <c r="TNP13" s="513"/>
      <c r="TNQ13" s="513"/>
      <c r="TNR13" s="513"/>
      <c r="TNS13" s="513"/>
      <c r="TNT13" s="513"/>
      <c r="TNU13" s="513"/>
      <c r="TNV13" s="513"/>
      <c r="TNW13" s="513"/>
      <c r="TNX13" s="513"/>
      <c r="TNY13" s="513"/>
      <c r="TNZ13" s="513"/>
      <c r="TOA13" s="513"/>
      <c r="TOB13" s="513"/>
      <c r="TOC13" s="513"/>
      <c r="TOD13" s="513"/>
      <c r="TOE13" s="513"/>
      <c r="TOF13" s="513"/>
      <c r="TOG13" s="513"/>
      <c r="TOH13" s="513"/>
      <c r="TOI13" s="513"/>
      <c r="TOJ13" s="513"/>
      <c r="TOK13" s="513"/>
      <c r="TOL13" s="513"/>
      <c r="TOM13" s="513"/>
      <c r="TON13" s="513"/>
      <c r="TOO13" s="513"/>
      <c r="TOP13" s="513"/>
      <c r="TOQ13" s="513"/>
      <c r="TOR13" s="513"/>
      <c r="TOS13" s="513"/>
      <c r="TOT13" s="513"/>
      <c r="TOU13" s="513"/>
      <c r="TOV13" s="513"/>
      <c r="TOW13" s="513"/>
      <c r="TOX13" s="513"/>
      <c r="TOY13" s="513"/>
      <c r="TOZ13" s="513"/>
      <c r="TPA13" s="513"/>
      <c r="TPB13" s="513"/>
      <c r="TPC13" s="513"/>
      <c r="TPD13" s="513"/>
      <c r="TPE13" s="513"/>
      <c r="TPF13" s="513"/>
      <c r="TPG13" s="513"/>
      <c r="TPH13" s="513"/>
      <c r="TPI13" s="513"/>
      <c r="TPJ13" s="513"/>
      <c r="TPK13" s="513"/>
      <c r="TPL13" s="513"/>
      <c r="TPM13" s="513"/>
      <c r="TPN13" s="513"/>
      <c r="TPO13" s="513"/>
      <c r="TPP13" s="513"/>
      <c r="TPQ13" s="513"/>
      <c r="TPR13" s="513"/>
      <c r="TPS13" s="513"/>
      <c r="TPT13" s="513"/>
      <c r="TPU13" s="513"/>
      <c r="TPV13" s="513"/>
      <c r="TPW13" s="513"/>
      <c r="TPX13" s="513"/>
      <c r="TPY13" s="513"/>
      <c r="TPZ13" s="513"/>
      <c r="TQA13" s="513"/>
      <c r="TQB13" s="513"/>
      <c r="TQC13" s="513"/>
      <c r="TQD13" s="513"/>
      <c r="TQE13" s="513"/>
      <c r="TQF13" s="513"/>
      <c r="TQG13" s="513"/>
      <c r="TQH13" s="513"/>
      <c r="TQI13" s="513"/>
      <c r="TQJ13" s="513"/>
      <c r="TQK13" s="513"/>
      <c r="TQL13" s="513"/>
      <c r="TQM13" s="513"/>
      <c r="TQN13" s="513"/>
      <c r="TQO13" s="513"/>
      <c r="TQP13" s="513"/>
      <c r="TQQ13" s="513"/>
      <c r="TQR13" s="513"/>
      <c r="TQS13" s="513"/>
      <c r="TQT13" s="513"/>
      <c r="TQU13" s="513"/>
      <c r="TQV13" s="513"/>
      <c r="TQW13" s="513"/>
      <c r="TQX13" s="513"/>
      <c r="TQY13" s="513"/>
      <c r="TQZ13" s="513"/>
      <c r="TRA13" s="513"/>
      <c r="TRB13" s="513"/>
      <c r="TRC13" s="513"/>
      <c r="TRD13" s="513"/>
      <c r="TRE13" s="513"/>
      <c r="TRF13" s="513"/>
      <c r="TRG13" s="513"/>
      <c r="TRH13" s="513"/>
      <c r="TRI13" s="513"/>
      <c r="TRJ13" s="513"/>
      <c r="TRK13" s="513"/>
      <c r="TRL13" s="513"/>
      <c r="TRM13" s="513"/>
      <c r="TRN13" s="513"/>
      <c r="TRO13" s="513"/>
      <c r="TRP13" s="513"/>
      <c r="TRQ13" s="513"/>
      <c r="TRR13" s="513"/>
      <c r="TRS13" s="513"/>
      <c r="TRT13" s="513"/>
      <c r="TRU13" s="513"/>
      <c r="TRV13" s="513"/>
      <c r="TRW13" s="513"/>
      <c r="TRX13" s="513"/>
      <c r="TRY13" s="513"/>
      <c r="TRZ13" s="513"/>
      <c r="TSA13" s="513"/>
      <c r="TSB13" s="513"/>
      <c r="TSC13" s="513"/>
      <c r="TSD13" s="513"/>
      <c r="TSE13" s="513"/>
      <c r="TSF13" s="513"/>
      <c r="TSG13" s="513"/>
      <c r="TSH13" s="513"/>
      <c r="TSI13" s="513"/>
      <c r="TSJ13" s="513"/>
      <c r="TSK13" s="513"/>
      <c r="TSL13" s="513"/>
      <c r="TSM13" s="513"/>
      <c r="TSN13" s="513"/>
      <c r="TSO13" s="513"/>
      <c r="TSP13" s="513"/>
      <c r="TSQ13" s="513"/>
      <c r="TSR13" s="513"/>
      <c r="TSS13" s="513"/>
      <c r="TST13" s="513"/>
      <c r="TSU13" s="513"/>
      <c r="TSV13" s="513"/>
      <c r="TSW13" s="513"/>
      <c r="TSX13" s="513"/>
      <c r="TSY13" s="513"/>
      <c r="TSZ13" s="513"/>
      <c r="TTA13" s="513"/>
      <c r="TTB13" s="513"/>
      <c r="TTC13" s="513"/>
      <c r="TTD13" s="513"/>
      <c r="TTE13" s="513"/>
      <c r="TTF13" s="513"/>
      <c r="TTG13" s="513"/>
      <c r="TTH13" s="513"/>
      <c r="TTI13" s="513"/>
      <c r="TTJ13" s="513"/>
      <c r="TTK13" s="513"/>
      <c r="TTL13" s="513"/>
      <c r="TTM13" s="513"/>
      <c r="TTN13" s="513"/>
      <c r="TTO13" s="513"/>
      <c r="TTP13" s="513"/>
      <c r="TTQ13" s="513"/>
      <c r="TTR13" s="513"/>
      <c r="TTS13" s="513"/>
      <c r="TTT13" s="513"/>
      <c r="TTU13" s="513"/>
      <c r="TTV13" s="513"/>
      <c r="TTW13" s="513"/>
      <c r="TTX13" s="513"/>
      <c r="TTY13" s="513"/>
      <c r="TTZ13" s="513"/>
      <c r="TUA13" s="513"/>
      <c r="TUB13" s="513"/>
      <c r="TUC13" s="513"/>
      <c r="TUD13" s="513"/>
      <c r="TUE13" s="513"/>
      <c r="TUF13" s="513"/>
      <c r="TUG13" s="513"/>
      <c r="TUH13" s="513"/>
      <c r="TUI13" s="513"/>
      <c r="TUJ13" s="513"/>
      <c r="TUK13" s="513"/>
      <c r="TUL13" s="513"/>
      <c r="TUM13" s="513"/>
      <c r="TUN13" s="513"/>
      <c r="TUO13" s="513"/>
      <c r="TUP13" s="513"/>
      <c r="TUQ13" s="513"/>
      <c r="TUR13" s="513"/>
      <c r="TUS13" s="513"/>
      <c r="TUT13" s="513"/>
      <c r="TUU13" s="513"/>
      <c r="TUV13" s="513"/>
      <c r="TUW13" s="513"/>
      <c r="TUX13" s="513"/>
      <c r="TUY13" s="513"/>
      <c r="TUZ13" s="513"/>
      <c r="TVA13" s="513"/>
      <c r="TVB13" s="513"/>
      <c r="TVC13" s="513"/>
      <c r="TVD13" s="513"/>
      <c r="TVE13" s="513"/>
      <c r="TVF13" s="513"/>
      <c r="TVG13" s="513"/>
      <c r="TVH13" s="513"/>
      <c r="TVI13" s="513"/>
      <c r="TVJ13" s="513"/>
      <c r="TVK13" s="513"/>
      <c r="TVL13" s="513"/>
      <c r="TVM13" s="513"/>
      <c r="TVN13" s="513"/>
      <c r="TVO13" s="513"/>
      <c r="TVP13" s="513"/>
      <c r="TVQ13" s="513"/>
      <c r="TVR13" s="513"/>
      <c r="TVS13" s="513"/>
      <c r="TVT13" s="513"/>
      <c r="TVU13" s="513"/>
      <c r="TVV13" s="513"/>
      <c r="TVW13" s="513"/>
      <c r="TVX13" s="513"/>
      <c r="TVY13" s="513"/>
      <c r="TVZ13" s="513"/>
      <c r="TWA13" s="513"/>
      <c r="TWB13" s="513"/>
      <c r="TWC13" s="513"/>
      <c r="TWD13" s="513"/>
      <c r="TWE13" s="513"/>
      <c r="TWF13" s="513"/>
      <c r="TWG13" s="513"/>
      <c r="TWH13" s="513"/>
      <c r="TWI13" s="513"/>
      <c r="TWJ13" s="513"/>
      <c r="TWK13" s="513"/>
      <c r="TWL13" s="513"/>
      <c r="TWM13" s="513"/>
      <c r="TWN13" s="513"/>
      <c r="TWO13" s="513"/>
      <c r="TWP13" s="513"/>
      <c r="TWQ13" s="513"/>
      <c r="TWR13" s="513"/>
      <c r="TWS13" s="513"/>
      <c r="TWT13" s="513"/>
      <c r="TWU13" s="513"/>
      <c r="TWV13" s="513"/>
      <c r="TWW13" s="513"/>
      <c r="TWX13" s="513"/>
      <c r="TWY13" s="513"/>
      <c r="TWZ13" s="513"/>
      <c r="TXA13" s="513"/>
      <c r="TXB13" s="513"/>
      <c r="TXC13" s="513"/>
      <c r="TXD13" s="513"/>
      <c r="TXE13" s="513"/>
      <c r="TXF13" s="513"/>
      <c r="TXG13" s="513"/>
      <c r="TXH13" s="513"/>
      <c r="TXI13" s="513"/>
      <c r="TXJ13" s="513"/>
      <c r="TXK13" s="513"/>
      <c r="TXL13" s="513"/>
      <c r="TXM13" s="513"/>
      <c r="TXN13" s="513"/>
      <c r="TXO13" s="513"/>
      <c r="TXP13" s="513"/>
      <c r="TXQ13" s="513"/>
      <c r="TXR13" s="513"/>
      <c r="TXS13" s="513"/>
      <c r="TXT13" s="513"/>
      <c r="TXU13" s="513"/>
      <c r="TXV13" s="513"/>
      <c r="TXW13" s="513"/>
      <c r="TXX13" s="513"/>
      <c r="TXY13" s="513"/>
      <c r="TXZ13" s="513"/>
      <c r="TYA13" s="513"/>
      <c r="TYB13" s="513"/>
      <c r="TYC13" s="513"/>
      <c r="TYD13" s="513"/>
      <c r="TYE13" s="513"/>
      <c r="TYF13" s="513"/>
      <c r="TYG13" s="513"/>
      <c r="TYH13" s="513"/>
      <c r="TYI13" s="513"/>
      <c r="TYJ13" s="513"/>
      <c r="TYK13" s="513"/>
      <c r="TYL13" s="513"/>
      <c r="TYM13" s="513"/>
      <c r="TYN13" s="513"/>
      <c r="TYO13" s="513"/>
      <c r="TYP13" s="513"/>
      <c r="TYQ13" s="513"/>
      <c r="TYR13" s="513"/>
      <c r="TYS13" s="513"/>
      <c r="TYT13" s="513"/>
      <c r="TYU13" s="513"/>
      <c r="TYV13" s="513"/>
      <c r="TYW13" s="513"/>
      <c r="TYX13" s="513"/>
      <c r="TYY13" s="513"/>
      <c r="TYZ13" s="513"/>
      <c r="TZA13" s="513"/>
      <c r="TZB13" s="513"/>
      <c r="TZC13" s="513"/>
      <c r="TZD13" s="513"/>
      <c r="TZE13" s="513"/>
      <c r="TZF13" s="513"/>
      <c r="TZG13" s="513"/>
      <c r="TZH13" s="513"/>
      <c r="TZI13" s="513"/>
      <c r="TZJ13" s="513"/>
      <c r="TZK13" s="513"/>
      <c r="TZL13" s="513"/>
      <c r="TZM13" s="513"/>
      <c r="TZN13" s="513"/>
      <c r="TZO13" s="513"/>
      <c r="TZP13" s="513"/>
      <c r="TZQ13" s="513"/>
      <c r="TZR13" s="513"/>
      <c r="TZS13" s="513"/>
      <c r="TZT13" s="513"/>
      <c r="TZU13" s="513"/>
      <c r="TZV13" s="513"/>
      <c r="TZW13" s="513"/>
      <c r="TZX13" s="513"/>
      <c r="TZY13" s="513"/>
      <c r="TZZ13" s="513"/>
      <c r="UAA13" s="513"/>
      <c r="UAB13" s="513"/>
      <c r="UAC13" s="513"/>
      <c r="UAD13" s="513"/>
      <c r="UAE13" s="513"/>
      <c r="UAF13" s="513"/>
      <c r="UAG13" s="513"/>
      <c r="UAH13" s="513"/>
      <c r="UAI13" s="513"/>
      <c r="UAJ13" s="513"/>
      <c r="UAK13" s="513"/>
      <c r="UAL13" s="513"/>
      <c r="UAM13" s="513"/>
      <c r="UAN13" s="513"/>
      <c r="UAO13" s="513"/>
      <c r="UAP13" s="513"/>
      <c r="UAQ13" s="513"/>
      <c r="UAR13" s="513"/>
      <c r="UAS13" s="513"/>
      <c r="UAT13" s="513"/>
      <c r="UAU13" s="513"/>
      <c r="UAV13" s="513"/>
      <c r="UAW13" s="513"/>
      <c r="UAX13" s="513"/>
      <c r="UAY13" s="513"/>
      <c r="UAZ13" s="513"/>
      <c r="UBA13" s="513"/>
      <c r="UBB13" s="513"/>
      <c r="UBC13" s="513"/>
      <c r="UBD13" s="513"/>
      <c r="UBE13" s="513"/>
      <c r="UBF13" s="513"/>
      <c r="UBG13" s="513"/>
      <c r="UBH13" s="513"/>
      <c r="UBI13" s="513"/>
      <c r="UBJ13" s="513"/>
      <c r="UBK13" s="513"/>
      <c r="UBL13" s="513"/>
      <c r="UBM13" s="513"/>
      <c r="UBN13" s="513"/>
      <c r="UBO13" s="513"/>
      <c r="UBP13" s="513"/>
      <c r="UBQ13" s="513"/>
      <c r="UBR13" s="513"/>
      <c r="UBS13" s="513"/>
      <c r="UBT13" s="513"/>
      <c r="UBU13" s="513"/>
      <c r="UBV13" s="513"/>
      <c r="UBW13" s="513"/>
      <c r="UBX13" s="513"/>
      <c r="UBY13" s="513"/>
      <c r="UBZ13" s="513"/>
      <c r="UCA13" s="513"/>
      <c r="UCB13" s="513"/>
      <c r="UCC13" s="513"/>
      <c r="UCD13" s="513"/>
      <c r="UCE13" s="513"/>
      <c r="UCF13" s="513"/>
      <c r="UCG13" s="513"/>
      <c r="UCH13" s="513"/>
      <c r="UCI13" s="513"/>
      <c r="UCJ13" s="513"/>
      <c r="UCK13" s="513"/>
      <c r="UCL13" s="513"/>
      <c r="UCM13" s="513"/>
      <c r="UCN13" s="513"/>
      <c r="UCO13" s="513"/>
      <c r="UCP13" s="513"/>
      <c r="UCQ13" s="513"/>
      <c r="UCR13" s="513"/>
      <c r="UCS13" s="513"/>
      <c r="UCT13" s="513"/>
      <c r="UCU13" s="513"/>
      <c r="UCV13" s="513"/>
      <c r="UCW13" s="513"/>
      <c r="UCX13" s="513"/>
      <c r="UCY13" s="513"/>
      <c r="UCZ13" s="513"/>
      <c r="UDA13" s="513"/>
      <c r="UDB13" s="513"/>
      <c r="UDC13" s="513"/>
      <c r="UDD13" s="513"/>
      <c r="UDE13" s="513"/>
      <c r="UDF13" s="513"/>
      <c r="UDG13" s="513"/>
      <c r="UDH13" s="513"/>
      <c r="UDI13" s="513"/>
      <c r="UDJ13" s="513"/>
      <c r="UDK13" s="513"/>
      <c r="UDL13" s="513"/>
      <c r="UDM13" s="513"/>
      <c r="UDN13" s="513"/>
      <c r="UDO13" s="513"/>
      <c r="UDP13" s="513"/>
      <c r="UDQ13" s="513"/>
      <c r="UDR13" s="513"/>
      <c r="UDS13" s="513"/>
      <c r="UDT13" s="513"/>
      <c r="UDU13" s="513"/>
      <c r="UDV13" s="513"/>
      <c r="UDW13" s="513"/>
      <c r="UDX13" s="513"/>
      <c r="UDY13" s="513"/>
      <c r="UDZ13" s="513"/>
      <c r="UEA13" s="513"/>
      <c r="UEB13" s="513"/>
      <c r="UEC13" s="513"/>
      <c r="UED13" s="513"/>
      <c r="UEE13" s="513"/>
      <c r="UEF13" s="513"/>
      <c r="UEG13" s="513"/>
      <c r="UEH13" s="513"/>
      <c r="UEI13" s="513"/>
      <c r="UEJ13" s="513"/>
      <c r="UEK13" s="513"/>
      <c r="UEL13" s="513"/>
      <c r="UEM13" s="513"/>
      <c r="UEN13" s="513"/>
      <c r="UEO13" s="513"/>
      <c r="UEP13" s="513"/>
      <c r="UEQ13" s="513"/>
      <c r="UER13" s="513"/>
      <c r="UES13" s="513"/>
      <c r="UET13" s="513"/>
      <c r="UEU13" s="513"/>
      <c r="UEV13" s="513"/>
      <c r="UEW13" s="513"/>
      <c r="UEX13" s="513"/>
      <c r="UEY13" s="513"/>
      <c r="UEZ13" s="513"/>
      <c r="UFA13" s="513"/>
      <c r="UFB13" s="513"/>
      <c r="UFC13" s="513"/>
      <c r="UFD13" s="513"/>
      <c r="UFE13" s="513"/>
      <c r="UFF13" s="513"/>
      <c r="UFG13" s="513"/>
      <c r="UFH13" s="513"/>
      <c r="UFI13" s="513"/>
      <c r="UFJ13" s="513"/>
      <c r="UFK13" s="513"/>
      <c r="UFL13" s="513"/>
      <c r="UFM13" s="513"/>
      <c r="UFN13" s="513"/>
      <c r="UFO13" s="513"/>
      <c r="UFP13" s="513"/>
      <c r="UFQ13" s="513"/>
      <c r="UFR13" s="513"/>
      <c r="UFS13" s="513"/>
      <c r="UFT13" s="513"/>
      <c r="UFU13" s="513"/>
      <c r="UFV13" s="513"/>
      <c r="UFW13" s="513"/>
      <c r="UFX13" s="513"/>
      <c r="UFY13" s="513"/>
      <c r="UFZ13" s="513"/>
      <c r="UGA13" s="513"/>
      <c r="UGB13" s="513"/>
      <c r="UGC13" s="513"/>
      <c r="UGD13" s="513"/>
      <c r="UGE13" s="513"/>
      <c r="UGF13" s="513"/>
      <c r="UGG13" s="513"/>
      <c r="UGH13" s="513"/>
      <c r="UGI13" s="513"/>
      <c r="UGJ13" s="513"/>
      <c r="UGK13" s="513"/>
      <c r="UGL13" s="513"/>
      <c r="UGM13" s="513"/>
      <c r="UGN13" s="513"/>
      <c r="UGO13" s="513"/>
      <c r="UGP13" s="513"/>
      <c r="UGQ13" s="513"/>
      <c r="UGR13" s="513"/>
      <c r="UGS13" s="513"/>
      <c r="UGT13" s="513"/>
      <c r="UGU13" s="513"/>
      <c r="UGV13" s="513"/>
      <c r="UGW13" s="513"/>
      <c r="UGX13" s="513"/>
      <c r="UGY13" s="513"/>
      <c r="UGZ13" s="513"/>
      <c r="UHA13" s="513"/>
      <c r="UHB13" s="513"/>
      <c r="UHC13" s="513"/>
      <c r="UHD13" s="513"/>
      <c r="UHE13" s="513"/>
      <c r="UHF13" s="513"/>
      <c r="UHG13" s="513"/>
      <c r="UHH13" s="513"/>
      <c r="UHI13" s="513"/>
      <c r="UHJ13" s="513"/>
      <c r="UHK13" s="513"/>
      <c r="UHL13" s="513"/>
      <c r="UHM13" s="513"/>
      <c r="UHN13" s="513"/>
      <c r="UHO13" s="513"/>
      <c r="UHP13" s="513"/>
      <c r="UHQ13" s="513"/>
      <c r="UHR13" s="513"/>
      <c r="UHS13" s="513"/>
      <c r="UHT13" s="513"/>
      <c r="UHU13" s="513"/>
      <c r="UHV13" s="513"/>
      <c r="UHW13" s="513"/>
      <c r="UHX13" s="513"/>
      <c r="UHY13" s="513"/>
      <c r="UHZ13" s="513"/>
      <c r="UIA13" s="513"/>
      <c r="UIB13" s="513"/>
      <c r="UIC13" s="513"/>
      <c r="UID13" s="513"/>
      <c r="UIE13" s="513"/>
      <c r="UIF13" s="513"/>
      <c r="UIG13" s="513"/>
      <c r="UIH13" s="513"/>
      <c r="UII13" s="513"/>
      <c r="UIJ13" s="513"/>
      <c r="UIK13" s="513"/>
      <c r="UIL13" s="513"/>
      <c r="UIM13" s="513"/>
      <c r="UIN13" s="513"/>
      <c r="UIO13" s="513"/>
      <c r="UIP13" s="513"/>
      <c r="UIQ13" s="513"/>
      <c r="UIR13" s="513"/>
      <c r="UIS13" s="513"/>
      <c r="UIT13" s="513"/>
      <c r="UIU13" s="513"/>
      <c r="UIV13" s="513"/>
      <c r="UIW13" s="513"/>
      <c r="UIX13" s="513"/>
      <c r="UIY13" s="513"/>
      <c r="UIZ13" s="513"/>
      <c r="UJA13" s="513"/>
      <c r="UJB13" s="513"/>
      <c r="UJC13" s="513"/>
      <c r="UJD13" s="513"/>
      <c r="UJE13" s="513"/>
      <c r="UJF13" s="513"/>
      <c r="UJG13" s="513"/>
      <c r="UJH13" s="513"/>
      <c r="UJI13" s="513"/>
      <c r="UJJ13" s="513"/>
      <c r="UJK13" s="513"/>
      <c r="UJL13" s="513"/>
      <c r="UJM13" s="513"/>
      <c r="UJN13" s="513"/>
      <c r="UJO13" s="513"/>
      <c r="UJP13" s="513"/>
      <c r="UJQ13" s="513"/>
      <c r="UJR13" s="513"/>
      <c r="UJS13" s="513"/>
      <c r="UJT13" s="513"/>
      <c r="UJU13" s="513"/>
      <c r="UJV13" s="513"/>
      <c r="UJW13" s="513"/>
      <c r="UJX13" s="513"/>
      <c r="UJY13" s="513"/>
      <c r="UJZ13" s="513"/>
      <c r="UKA13" s="513"/>
      <c r="UKB13" s="513"/>
      <c r="UKC13" s="513"/>
      <c r="UKD13" s="513"/>
      <c r="UKE13" s="513"/>
      <c r="UKF13" s="513"/>
      <c r="UKG13" s="513"/>
      <c r="UKH13" s="513"/>
      <c r="UKI13" s="513"/>
      <c r="UKJ13" s="513"/>
      <c r="UKK13" s="513"/>
      <c r="UKL13" s="513"/>
      <c r="UKM13" s="513"/>
      <c r="UKN13" s="513"/>
      <c r="UKO13" s="513"/>
      <c r="UKP13" s="513"/>
      <c r="UKQ13" s="513"/>
      <c r="UKR13" s="513"/>
      <c r="UKS13" s="513"/>
      <c r="UKT13" s="513"/>
      <c r="UKU13" s="513"/>
      <c r="UKV13" s="513"/>
      <c r="UKW13" s="513"/>
      <c r="UKX13" s="513"/>
      <c r="UKY13" s="513"/>
      <c r="UKZ13" s="513"/>
      <c r="ULA13" s="513"/>
      <c r="ULB13" s="513"/>
      <c r="ULC13" s="513"/>
      <c r="ULD13" s="513"/>
      <c r="ULE13" s="513"/>
      <c r="ULF13" s="513"/>
      <c r="ULG13" s="513"/>
      <c r="ULH13" s="513"/>
      <c r="ULI13" s="513"/>
      <c r="ULJ13" s="513"/>
      <c r="ULK13" s="513"/>
      <c r="ULL13" s="513"/>
      <c r="ULM13" s="513"/>
      <c r="ULN13" s="513"/>
      <c r="ULO13" s="513"/>
      <c r="ULP13" s="513"/>
      <c r="ULQ13" s="513"/>
      <c r="ULR13" s="513"/>
      <c r="ULS13" s="513"/>
      <c r="ULT13" s="513"/>
      <c r="ULU13" s="513"/>
      <c r="ULV13" s="513"/>
      <c r="ULW13" s="513"/>
      <c r="ULX13" s="513"/>
      <c r="ULY13" s="513"/>
      <c r="ULZ13" s="513"/>
      <c r="UMA13" s="513"/>
      <c r="UMB13" s="513"/>
      <c r="UMC13" s="513"/>
      <c r="UMD13" s="513"/>
      <c r="UME13" s="513"/>
      <c r="UMF13" s="513"/>
      <c r="UMG13" s="513"/>
      <c r="UMH13" s="513"/>
      <c r="UMI13" s="513"/>
      <c r="UMJ13" s="513"/>
      <c r="UMK13" s="513"/>
      <c r="UML13" s="513"/>
      <c r="UMM13" s="513"/>
      <c r="UMN13" s="513"/>
      <c r="UMO13" s="513"/>
      <c r="UMP13" s="513"/>
      <c r="UMQ13" s="513"/>
      <c r="UMR13" s="513"/>
      <c r="UMS13" s="513"/>
      <c r="UMT13" s="513"/>
      <c r="UMU13" s="513"/>
      <c r="UMV13" s="513"/>
      <c r="UMW13" s="513"/>
      <c r="UMX13" s="513"/>
      <c r="UMY13" s="513"/>
      <c r="UMZ13" s="513"/>
      <c r="UNA13" s="513"/>
      <c r="UNB13" s="513"/>
      <c r="UNC13" s="513"/>
      <c r="UND13" s="513"/>
      <c r="UNE13" s="513"/>
      <c r="UNF13" s="513"/>
      <c r="UNG13" s="513"/>
      <c r="UNH13" s="513"/>
      <c r="UNI13" s="513"/>
      <c r="UNJ13" s="513"/>
      <c r="UNK13" s="513"/>
      <c r="UNL13" s="513"/>
      <c r="UNM13" s="513"/>
      <c r="UNN13" s="513"/>
      <c r="UNO13" s="513"/>
      <c r="UNP13" s="513"/>
      <c r="UNQ13" s="513"/>
      <c r="UNR13" s="513"/>
      <c r="UNS13" s="513"/>
      <c r="UNT13" s="513"/>
      <c r="UNU13" s="513"/>
      <c r="UNV13" s="513"/>
      <c r="UNW13" s="513"/>
      <c r="UNX13" s="513"/>
      <c r="UNY13" s="513"/>
      <c r="UNZ13" s="513"/>
      <c r="UOA13" s="513"/>
      <c r="UOB13" s="513"/>
      <c r="UOC13" s="513"/>
      <c r="UOD13" s="513"/>
      <c r="UOE13" s="513"/>
      <c r="UOF13" s="513"/>
      <c r="UOG13" s="513"/>
      <c r="UOH13" s="513"/>
      <c r="UOI13" s="513"/>
      <c r="UOJ13" s="513"/>
      <c r="UOK13" s="513"/>
      <c r="UOL13" s="513"/>
      <c r="UOM13" s="513"/>
      <c r="UON13" s="513"/>
      <c r="UOO13" s="513"/>
      <c r="UOP13" s="513"/>
      <c r="UOQ13" s="513"/>
      <c r="UOR13" s="513"/>
      <c r="UOS13" s="513"/>
      <c r="UOT13" s="513"/>
      <c r="UOU13" s="513"/>
      <c r="UOV13" s="513"/>
      <c r="UOW13" s="513"/>
      <c r="UOX13" s="513"/>
      <c r="UOY13" s="513"/>
      <c r="UOZ13" s="513"/>
      <c r="UPA13" s="513"/>
      <c r="UPB13" s="513"/>
      <c r="UPC13" s="513"/>
      <c r="UPD13" s="513"/>
      <c r="UPE13" s="513"/>
      <c r="UPF13" s="513"/>
      <c r="UPG13" s="513"/>
      <c r="UPH13" s="513"/>
      <c r="UPI13" s="513"/>
      <c r="UPJ13" s="513"/>
      <c r="UPK13" s="513"/>
      <c r="UPL13" s="513"/>
      <c r="UPM13" s="513"/>
      <c r="UPN13" s="513"/>
      <c r="UPO13" s="513"/>
      <c r="UPP13" s="513"/>
      <c r="UPQ13" s="513"/>
      <c r="UPR13" s="513"/>
      <c r="UPS13" s="513"/>
      <c r="UPT13" s="513"/>
      <c r="UPU13" s="513"/>
      <c r="UPV13" s="513"/>
      <c r="UPW13" s="513"/>
      <c r="UPX13" s="513"/>
      <c r="UPY13" s="513"/>
      <c r="UPZ13" s="513"/>
      <c r="UQA13" s="513"/>
      <c r="UQB13" s="513"/>
      <c r="UQC13" s="513"/>
      <c r="UQD13" s="513"/>
      <c r="UQE13" s="513"/>
      <c r="UQF13" s="513"/>
      <c r="UQG13" s="513"/>
      <c r="UQH13" s="513"/>
      <c r="UQI13" s="513"/>
      <c r="UQJ13" s="513"/>
      <c r="UQK13" s="513"/>
      <c r="UQL13" s="513"/>
      <c r="UQM13" s="513"/>
      <c r="UQN13" s="513"/>
      <c r="UQO13" s="513"/>
      <c r="UQP13" s="513"/>
      <c r="UQQ13" s="513"/>
      <c r="UQR13" s="513"/>
      <c r="UQS13" s="513"/>
      <c r="UQT13" s="513"/>
      <c r="UQU13" s="513"/>
      <c r="UQV13" s="513"/>
      <c r="UQW13" s="513"/>
      <c r="UQX13" s="513"/>
      <c r="UQY13" s="513"/>
      <c r="UQZ13" s="513"/>
      <c r="URA13" s="513"/>
      <c r="URB13" s="513"/>
      <c r="URC13" s="513"/>
      <c r="URD13" s="513"/>
      <c r="URE13" s="513"/>
      <c r="URF13" s="513"/>
      <c r="URG13" s="513"/>
      <c r="URH13" s="513"/>
      <c r="URI13" s="513"/>
      <c r="URJ13" s="513"/>
      <c r="URK13" s="513"/>
      <c r="URL13" s="513"/>
      <c r="URM13" s="513"/>
      <c r="URN13" s="513"/>
      <c r="URO13" s="513"/>
      <c r="URP13" s="513"/>
      <c r="URQ13" s="513"/>
      <c r="URR13" s="513"/>
      <c r="URS13" s="513"/>
      <c r="URT13" s="513"/>
      <c r="URU13" s="513"/>
      <c r="URV13" s="513"/>
      <c r="URW13" s="513"/>
      <c r="URX13" s="513"/>
      <c r="URY13" s="513"/>
      <c r="URZ13" s="513"/>
      <c r="USA13" s="513"/>
      <c r="USB13" s="513"/>
      <c r="USC13" s="513"/>
      <c r="USD13" s="513"/>
      <c r="USE13" s="513"/>
      <c r="USF13" s="513"/>
      <c r="USG13" s="513"/>
      <c r="USH13" s="513"/>
      <c r="USI13" s="513"/>
      <c r="USJ13" s="513"/>
      <c r="USK13" s="513"/>
      <c r="USL13" s="513"/>
      <c r="USM13" s="513"/>
      <c r="USN13" s="513"/>
      <c r="USO13" s="513"/>
      <c r="USP13" s="513"/>
      <c r="USQ13" s="513"/>
      <c r="USR13" s="513"/>
      <c r="USS13" s="513"/>
      <c r="UST13" s="513"/>
      <c r="USU13" s="513"/>
      <c r="USV13" s="513"/>
      <c r="USW13" s="513"/>
      <c r="USX13" s="513"/>
      <c r="USY13" s="513"/>
      <c r="USZ13" s="513"/>
      <c r="UTA13" s="513"/>
      <c r="UTB13" s="513"/>
      <c r="UTC13" s="513"/>
      <c r="UTD13" s="513"/>
      <c r="UTE13" s="513"/>
      <c r="UTF13" s="513"/>
      <c r="UTG13" s="513"/>
      <c r="UTH13" s="513"/>
      <c r="UTI13" s="513"/>
      <c r="UTJ13" s="513"/>
      <c r="UTK13" s="513"/>
      <c r="UTL13" s="513"/>
      <c r="UTM13" s="513"/>
      <c r="UTN13" s="513"/>
      <c r="UTO13" s="513"/>
      <c r="UTP13" s="513"/>
      <c r="UTQ13" s="513"/>
      <c r="UTR13" s="513"/>
      <c r="UTS13" s="513"/>
      <c r="UTT13" s="513"/>
      <c r="UTU13" s="513"/>
      <c r="UTV13" s="513"/>
      <c r="UTW13" s="513"/>
      <c r="UTX13" s="513"/>
      <c r="UTY13" s="513"/>
      <c r="UTZ13" s="513"/>
      <c r="UUA13" s="513"/>
      <c r="UUB13" s="513"/>
      <c r="UUC13" s="513"/>
      <c r="UUD13" s="513"/>
      <c r="UUE13" s="513"/>
      <c r="UUF13" s="513"/>
      <c r="UUG13" s="513"/>
      <c r="UUH13" s="513"/>
      <c r="UUI13" s="513"/>
      <c r="UUJ13" s="513"/>
      <c r="UUK13" s="513"/>
      <c r="UUL13" s="513"/>
      <c r="UUM13" s="513"/>
      <c r="UUN13" s="513"/>
      <c r="UUO13" s="513"/>
      <c r="UUP13" s="513"/>
      <c r="UUQ13" s="513"/>
      <c r="UUR13" s="513"/>
      <c r="UUS13" s="513"/>
      <c r="UUT13" s="513"/>
      <c r="UUU13" s="513"/>
      <c r="UUV13" s="513"/>
      <c r="UUW13" s="513"/>
      <c r="UUX13" s="513"/>
      <c r="UUY13" s="513"/>
      <c r="UUZ13" s="513"/>
      <c r="UVA13" s="513"/>
      <c r="UVB13" s="513"/>
      <c r="UVC13" s="513"/>
      <c r="UVD13" s="513"/>
      <c r="UVE13" s="513"/>
      <c r="UVF13" s="513"/>
      <c r="UVG13" s="513"/>
      <c r="UVH13" s="513"/>
      <c r="UVI13" s="513"/>
      <c r="UVJ13" s="513"/>
      <c r="UVK13" s="513"/>
      <c r="UVL13" s="513"/>
      <c r="UVM13" s="513"/>
      <c r="UVN13" s="513"/>
      <c r="UVO13" s="513"/>
      <c r="UVP13" s="513"/>
      <c r="UVQ13" s="513"/>
      <c r="UVR13" s="513"/>
      <c r="UVS13" s="513"/>
      <c r="UVT13" s="513"/>
      <c r="UVU13" s="513"/>
      <c r="UVV13" s="513"/>
      <c r="UVW13" s="513"/>
      <c r="UVX13" s="513"/>
      <c r="UVY13" s="513"/>
      <c r="UVZ13" s="513"/>
      <c r="UWA13" s="513"/>
      <c r="UWB13" s="513"/>
      <c r="UWC13" s="513"/>
      <c r="UWD13" s="513"/>
      <c r="UWE13" s="513"/>
      <c r="UWF13" s="513"/>
      <c r="UWG13" s="513"/>
      <c r="UWH13" s="513"/>
      <c r="UWI13" s="513"/>
      <c r="UWJ13" s="513"/>
      <c r="UWK13" s="513"/>
      <c r="UWL13" s="513"/>
      <c r="UWM13" s="513"/>
      <c r="UWN13" s="513"/>
      <c r="UWO13" s="513"/>
      <c r="UWP13" s="513"/>
      <c r="UWQ13" s="513"/>
      <c r="UWR13" s="513"/>
      <c r="UWS13" s="513"/>
      <c r="UWT13" s="513"/>
      <c r="UWU13" s="513"/>
      <c r="UWV13" s="513"/>
      <c r="UWW13" s="513"/>
      <c r="UWX13" s="513"/>
      <c r="UWY13" s="513"/>
      <c r="UWZ13" s="513"/>
      <c r="UXA13" s="513"/>
      <c r="UXB13" s="513"/>
      <c r="UXC13" s="513"/>
      <c r="UXD13" s="513"/>
      <c r="UXE13" s="513"/>
      <c r="UXF13" s="513"/>
      <c r="UXG13" s="513"/>
      <c r="UXH13" s="513"/>
      <c r="UXI13" s="513"/>
      <c r="UXJ13" s="513"/>
      <c r="UXK13" s="513"/>
      <c r="UXL13" s="513"/>
      <c r="UXM13" s="513"/>
      <c r="UXN13" s="513"/>
      <c r="UXO13" s="513"/>
      <c r="UXP13" s="513"/>
      <c r="UXQ13" s="513"/>
      <c r="UXR13" s="513"/>
      <c r="UXS13" s="513"/>
      <c r="UXT13" s="513"/>
      <c r="UXU13" s="513"/>
      <c r="UXV13" s="513"/>
      <c r="UXW13" s="513"/>
      <c r="UXX13" s="513"/>
      <c r="UXY13" s="513"/>
      <c r="UXZ13" s="513"/>
      <c r="UYA13" s="513"/>
      <c r="UYB13" s="513"/>
      <c r="UYC13" s="513"/>
      <c r="UYD13" s="513"/>
      <c r="UYE13" s="513"/>
      <c r="UYF13" s="513"/>
      <c r="UYG13" s="513"/>
      <c r="UYH13" s="513"/>
      <c r="UYI13" s="513"/>
      <c r="UYJ13" s="513"/>
      <c r="UYK13" s="513"/>
      <c r="UYL13" s="513"/>
      <c r="UYM13" s="513"/>
      <c r="UYN13" s="513"/>
      <c r="UYO13" s="513"/>
      <c r="UYP13" s="513"/>
      <c r="UYQ13" s="513"/>
      <c r="UYR13" s="513"/>
      <c r="UYS13" s="513"/>
      <c r="UYT13" s="513"/>
      <c r="UYU13" s="513"/>
      <c r="UYV13" s="513"/>
      <c r="UYW13" s="513"/>
      <c r="UYX13" s="513"/>
      <c r="UYY13" s="513"/>
      <c r="UYZ13" s="513"/>
      <c r="UZA13" s="513"/>
      <c r="UZB13" s="513"/>
      <c r="UZC13" s="513"/>
      <c r="UZD13" s="513"/>
      <c r="UZE13" s="513"/>
      <c r="UZF13" s="513"/>
      <c r="UZG13" s="513"/>
      <c r="UZH13" s="513"/>
      <c r="UZI13" s="513"/>
      <c r="UZJ13" s="513"/>
      <c r="UZK13" s="513"/>
      <c r="UZL13" s="513"/>
      <c r="UZM13" s="513"/>
      <c r="UZN13" s="513"/>
      <c r="UZO13" s="513"/>
      <c r="UZP13" s="513"/>
      <c r="UZQ13" s="513"/>
      <c r="UZR13" s="513"/>
      <c r="UZS13" s="513"/>
      <c r="UZT13" s="513"/>
      <c r="UZU13" s="513"/>
      <c r="UZV13" s="513"/>
      <c r="UZW13" s="513"/>
      <c r="UZX13" s="513"/>
      <c r="UZY13" s="513"/>
      <c r="UZZ13" s="513"/>
      <c r="VAA13" s="513"/>
      <c r="VAB13" s="513"/>
      <c r="VAC13" s="513"/>
      <c r="VAD13" s="513"/>
      <c r="VAE13" s="513"/>
      <c r="VAF13" s="513"/>
      <c r="VAG13" s="513"/>
      <c r="VAH13" s="513"/>
      <c r="VAI13" s="513"/>
      <c r="VAJ13" s="513"/>
      <c r="VAK13" s="513"/>
      <c r="VAL13" s="513"/>
      <c r="VAM13" s="513"/>
      <c r="VAN13" s="513"/>
      <c r="VAO13" s="513"/>
      <c r="VAP13" s="513"/>
      <c r="VAQ13" s="513"/>
      <c r="VAR13" s="513"/>
      <c r="VAS13" s="513"/>
      <c r="VAT13" s="513"/>
      <c r="VAU13" s="513"/>
      <c r="VAV13" s="513"/>
      <c r="VAW13" s="513"/>
      <c r="VAX13" s="513"/>
      <c r="VAY13" s="513"/>
      <c r="VAZ13" s="513"/>
      <c r="VBA13" s="513"/>
      <c r="VBB13" s="513"/>
      <c r="VBC13" s="513"/>
      <c r="VBD13" s="513"/>
      <c r="VBE13" s="513"/>
      <c r="VBF13" s="513"/>
      <c r="VBG13" s="513"/>
      <c r="VBH13" s="513"/>
      <c r="VBI13" s="513"/>
      <c r="VBJ13" s="513"/>
      <c r="VBK13" s="513"/>
      <c r="VBL13" s="513"/>
      <c r="VBM13" s="513"/>
      <c r="VBN13" s="513"/>
      <c r="VBO13" s="513"/>
      <c r="VBP13" s="513"/>
      <c r="VBQ13" s="513"/>
      <c r="VBR13" s="513"/>
      <c r="VBS13" s="513"/>
      <c r="VBT13" s="513"/>
      <c r="VBU13" s="513"/>
      <c r="VBV13" s="513"/>
      <c r="VBW13" s="513"/>
      <c r="VBX13" s="513"/>
      <c r="VBY13" s="513"/>
      <c r="VBZ13" s="513"/>
      <c r="VCA13" s="513"/>
      <c r="VCB13" s="513"/>
      <c r="VCC13" s="513"/>
      <c r="VCD13" s="513"/>
      <c r="VCE13" s="513"/>
      <c r="VCF13" s="513"/>
      <c r="VCG13" s="513"/>
      <c r="VCH13" s="513"/>
      <c r="VCI13" s="513"/>
      <c r="VCJ13" s="513"/>
      <c r="VCK13" s="513"/>
      <c r="VCL13" s="513"/>
      <c r="VCM13" s="513"/>
      <c r="VCN13" s="513"/>
      <c r="VCO13" s="513"/>
      <c r="VCP13" s="513"/>
      <c r="VCQ13" s="513"/>
      <c r="VCR13" s="513"/>
      <c r="VCS13" s="513"/>
      <c r="VCT13" s="513"/>
      <c r="VCU13" s="513"/>
      <c r="VCV13" s="513"/>
      <c r="VCW13" s="513"/>
      <c r="VCX13" s="513"/>
      <c r="VCY13" s="513"/>
      <c r="VCZ13" s="513"/>
      <c r="VDA13" s="513"/>
      <c r="VDB13" s="513"/>
      <c r="VDC13" s="513"/>
      <c r="VDD13" s="513"/>
      <c r="VDE13" s="513"/>
      <c r="VDF13" s="513"/>
      <c r="VDG13" s="513"/>
      <c r="VDH13" s="513"/>
      <c r="VDI13" s="513"/>
      <c r="VDJ13" s="513"/>
      <c r="VDK13" s="513"/>
      <c r="VDL13" s="513"/>
      <c r="VDM13" s="513"/>
      <c r="VDN13" s="513"/>
      <c r="VDO13" s="513"/>
      <c r="VDP13" s="513"/>
      <c r="VDQ13" s="513"/>
      <c r="VDR13" s="513"/>
      <c r="VDS13" s="513"/>
      <c r="VDT13" s="513"/>
      <c r="VDU13" s="513"/>
      <c r="VDV13" s="513"/>
      <c r="VDW13" s="513"/>
      <c r="VDX13" s="513"/>
      <c r="VDY13" s="513"/>
      <c r="VDZ13" s="513"/>
      <c r="VEA13" s="513"/>
      <c r="VEB13" s="513"/>
      <c r="VEC13" s="513"/>
      <c r="VED13" s="513"/>
      <c r="VEE13" s="513"/>
      <c r="VEF13" s="513"/>
      <c r="VEG13" s="513"/>
      <c r="VEH13" s="513"/>
      <c r="VEI13" s="513"/>
      <c r="VEJ13" s="513"/>
      <c r="VEK13" s="513"/>
      <c r="VEL13" s="513"/>
      <c r="VEM13" s="513"/>
      <c r="VEN13" s="513"/>
      <c r="VEO13" s="513"/>
      <c r="VEP13" s="513"/>
      <c r="VEQ13" s="513"/>
      <c r="VER13" s="513"/>
      <c r="VES13" s="513"/>
      <c r="VET13" s="513"/>
      <c r="VEU13" s="513"/>
      <c r="VEV13" s="513"/>
      <c r="VEW13" s="513"/>
      <c r="VEX13" s="513"/>
      <c r="VEY13" s="513"/>
      <c r="VEZ13" s="513"/>
      <c r="VFA13" s="513"/>
      <c r="VFB13" s="513"/>
      <c r="VFC13" s="513"/>
      <c r="VFD13" s="513"/>
      <c r="VFE13" s="513"/>
      <c r="VFF13" s="513"/>
      <c r="VFG13" s="513"/>
      <c r="VFH13" s="513"/>
      <c r="VFI13" s="513"/>
      <c r="VFJ13" s="513"/>
      <c r="VFK13" s="513"/>
      <c r="VFL13" s="513"/>
      <c r="VFM13" s="513"/>
      <c r="VFN13" s="513"/>
      <c r="VFO13" s="513"/>
      <c r="VFP13" s="513"/>
      <c r="VFQ13" s="513"/>
      <c r="VFR13" s="513"/>
      <c r="VFS13" s="513"/>
      <c r="VFT13" s="513"/>
      <c r="VFU13" s="513"/>
      <c r="VFV13" s="513"/>
      <c r="VFW13" s="513"/>
      <c r="VFX13" s="513"/>
      <c r="VFY13" s="513"/>
      <c r="VFZ13" s="513"/>
      <c r="VGA13" s="513"/>
      <c r="VGB13" s="513"/>
      <c r="VGC13" s="513"/>
      <c r="VGD13" s="513"/>
      <c r="VGE13" s="513"/>
      <c r="VGF13" s="513"/>
      <c r="VGG13" s="513"/>
      <c r="VGH13" s="513"/>
      <c r="VGI13" s="513"/>
      <c r="VGJ13" s="513"/>
      <c r="VGK13" s="513"/>
      <c r="VGL13" s="513"/>
      <c r="VGM13" s="513"/>
      <c r="VGN13" s="513"/>
      <c r="VGO13" s="513"/>
      <c r="VGP13" s="513"/>
      <c r="VGQ13" s="513"/>
      <c r="VGR13" s="513"/>
      <c r="VGS13" s="513"/>
      <c r="VGT13" s="513"/>
      <c r="VGU13" s="513"/>
      <c r="VGV13" s="513"/>
      <c r="VGW13" s="513"/>
      <c r="VGX13" s="513"/>
      <c r="VGY13" s="513"/>
      <c r="VGZ13" s="513"/>
      <c r="VHA13" s="513"/>
      <c r="VHB13" s="513"/>
      <c r="VHC13" s="513"/>
      <c r="VHD13" s="513"/>
      <c r="VHE13" s="513"/>
      <c r="VHF13" s="513"/>
      <c r="VHG13" s="513"/>
      <c r="VHH13" s="513"/>
      <c r="VHI13" s="513"/>
      <c r="VHJ13" s="513"/>
      <c r="VHK13" s="513"/>
      <c r="VHL13" s="513"/>
      <c r="VHM13" s="513"/>
      <c r="VHN13" s="513"/>
      <c r="VHO13" s="513"/>
      <c r="VHP13" s="513"/>
      <c r="VHQ13" s="513"/>
      <c r="VHR13" s="513"/>
      <c r="VHS13" s="513"/>
      <c r="VHT13" s="513"/>
      <c r="VHU13" s="513"/>
      <c r="VHV13" s="513"/>
      <c r="VHW13" s="513"/>
      <c r="VHX13" s="513"/>
      <c r="VHY13" s="513"/>
      <c r="VHZ13" s="513"/>
      <c r="VIA13" s="513"/>
      <c r="VIB13" s="513"/>
      <c r="VIC13" s="513"/>
      <c r="VID13" s="513"/>
      <c r="VIE13" s="513"/>
      <c r="VIF13" s="513"/>
      <c r="VIG13" s="513"/>
      <c r="VIH13" s="513"/>
      <c r="VII13" s="513"/>
      <c r="VIJ13" s="513"/>
      <c r="VIK13" s="513"/>
      <c r="VIL13" s="513"/>
      <c r="VIM13" s="513"/>
      <c r="VIN13" s="513"/>
      <c r="VIO13" s="513"/>
      <c r="VIP13" s="513"/>
      <c r="VIQ13" s="513"/>
      <c r="VIR13" s="513"/>
      <c r="VIS13" s="513"/>
      <c r="VIT13" s="513"/>
      <c r="VIU13" s="513"/>
      <c r="VIV13" s="513"/>
      <c r="VIW13" s="513"/>
      <c r="VIX13" s="513"/>
      <c r="VIY13" s="513"/>
      <c r="VIZ13" s="513"/>
      <c r="VJA13" s="513"/>
      <c r="VJB13" s="513"/>
      <c r="VJC13" s="513"/>
      <c r="VJD13" s="513"/>
      <c r="VJE13" s="513"/>
      <c r="VJF13" s="513"/>
      <c r="VJG13" s="513"/>
      <c r="VJH13" s="513"/>
      <c r="VJI13" s="513"/>
      <c r="VJJ13" s="513"/>
      <c r="VJK13" s="513"/>
      <c r="VJL13" s="513"/>
      <c r="VJM13" s="513"/>
      <c r="VJN13" s="513"/>
      <c r="VJO13" s="513"/>
      <c r="VJP13" s="513"/>
      <c r="VJQ13" s="513"/>
      <c r="VJR13" s="513"/>
      <c r="VJS13" s="513"/>
      <c r="VJT13" s="513"/>
      <c r="VJU13" s="513"/>
      <c r="VJV13" s="513"/>
      <c r="VJW13" s="513"/>
      <c r="VJX13" s="513"/>
      <c r="VJY13" s="513"/>
      <c r="VJZ13" s="513"/>
      <c r="VKA13" s="513"/>
      <c r="VKB13" s="513"/>
      <c r="VKC13" s="513"/>
      <c r="VKD13" s="513"/>
      <c r="VKE13" s="513"/>
      <c r="VKF13" s="513"/>
      <c r="VKG13" s="513"/>
      <c r="VKH13" s="513"/>
      <c r="VKI13" s="513"/>
      <c r="VKJ13" s="513"/>
      <c r="VKK13" s="513"/>
      <c r="VKL13" s="513"/>
      <c r="VKM13" s="513"/>
      <c r="VKN13" s="513"/>
      <c r="VKO13" s="513"/>
      <c r="VKP13" s="513"/>
      <c r="VKQ13" s="513"/>
      <c r="VKR13" s="513"/>
      <c r="VKS13" s="513"/>
      <c r="VKT13" s="513"/>
      <c r="VKU13" s="513"/>
      <c r="VKV13" s="513"/>
      <c r="VKW13" s="513"/>
      <c r="VKX13" s="513"/>
      <c r="VKY13" s="513"/>
      <c r="VKZ13" s="513"/>
      <c r="VLA13" s="513"/>
      <c r="VLB13" s="513"/>
      <c r="VLC13" s="513"/>
      <c r="VLD13" s="513"/>
      <c r="VLE13" s="513"/>
      <c r="VLF13" s="513"/>
      <c r="VLG13" s="513"/>
      <c r="VLH13" s="513"/>
      <c r="VLI13" s="513"/>
      <c r="VLJ13" s="513"/>
      <c r="VLK13" s="513"/>
      <c r="VLL13" s="513"/>
      <c r="VLM13" s="513"/>
      <c r="VLN13" s="513"/>
      <c r="VLO13" s="513"/>
      <c r="VLP13" s="513"/>
      <c r="VLQ13" s="513"/>
      <c r="VLR13" s="513"/>
      <c r="VLS13" s="513"/>
      <c r="VLT13" s="513"/>
      <c r="VLU13" s="513"/>
      <c r="VLV13" s="513"/>
      <c r="VLW13" s="513"/>
      <c r="VLX13" s="513"/>
      <c r="VLY13" s="513"/>
      <c r="VLZ13" s="513"/>
      <c r="VMA13" s="513"/>
      <c r="VMB13" s="513"/>
      <c r="VMC13" s="513"/>
      <c r="VMD13" s="513"/>
      <c r="VME13" s="513"/>
      <c r="VMF13" s="513"/>
      <c r="VMG13" s="513"/>
      <c r="VMH13" s="513"/>
      <c r="VMI13" s="513"/>
      <c r="VMJ13" s="513"/>
      <c r="VMK13" s="513"/>
      <c r="VML13" s="513"/>
      <c r="VMM13" s="513"/>
      <c r="VMN13" s="513"/>
      <c r="VMO13" s="513"/>
      <c r="VMP13" s="513"/>
      <c r="VMQ13" s="513"/>
      <c r="VMR13" s="513"/>
      <c r="VMS13" s="513"/>
      <c r="VMT13" s="513"/>
      <c r="VMU13" s="513"/>
      <c r="VMV13" s="513"/>
      <c r="VMW13" s="513"/>
      <c r="VMX13" s="513"/>
      <c r="VMY13" s="513"/>
      <c r="VMZ13" s="513"/>
      <c r="VNA13" s="513"/>
      <c r="VNB13" s="513"/>
      <c r="VNC13" s="513"/>
      <c r="VND13" s="513"/>
      <c r="VNE13" s="513"/>
      <c r="VNF13" s="513"/>
      <c r="VNG13" s="513"/>
      <c r="VNH13" s="513"/>
      <c r="VNI13" s="513"/>
      <c r="VNJ13" s="513"/>
      <c r="VNK13" s="513"/>
      <c r="VNL13" s="513"/>
      <c r="VNM13" s="513"/>
      <c r="VNN13" s="513"/>
      <c r="VNO13" s="513"/>
      <c r="VNP13" s="513"/>
      <c r="VNQ13" s="513"/>
      <c r="VNR13" s="513"/>
      <c r="VNS13" s="513"/>
      <c r="VNT13" s="513"/>
      <c r="VNU13" s="513"/>
      <c r="VNV13" s="513"/>
      <c r="VNW13" s="513"/>
      <c r="VNX13" s="513"/>
      <c r="VNY13" s="513"/>
      <c r="VNZ13" s="513"/>
      <c r="VOA13" s="513"/>
      <c r="VOB13" s="513"/>
      <c r="VOC13" s="513"/>
      <c r="VOD13" s="513"/>
      <c r="VOE13" s="513"/>
      <c r="VOF13" s="513"/>
      <c r="VOG13" s="513"/>
      <c r="VOH13" s="513"/>
      <c r="VOI13" s="513"/>
      <c r="VOJ13" s="513"/>
      <c r="VOK13" s="513"/>
      <c r="VOL13" s="513"/>
      <c r="VOM13" s="513"/>
      <c r="VON13" s="513"/>
      <c r="VOO13" s="513"/>
      <c r="VOP13" s="513"/>
      <c r="VOQ13" s="513"/>
      <c r="VOR13" s="513"/>
      <c r="VOS13" s="513"/>
      <c r="VOT13" s="513"/>
      <c r="VOU13" s="513"/>
      <c r="VOV13" s="513"/>
      <c r="VOW13" s="513"/>
      <c r="VOX13" s="513"/>
      <c r="VOY13" s="513"/>
      <c r="VOZ13" s="513"/>
      <c r="VPA13" s="513"/>
      <c r="VPB13" s="513"/>
      <c r="VPC13" s="513"/>
      <c r="VPD13" s="513"/>
      <c r="VPE13" s="513"/>
      <c r="VPF13" s="513"/>
      <c r="VPG13" s="513"/>
      <c r="VPH13" s="513"/>
      <c r="VPI13" s="513"/>
      <c r="VPJ13" s="513"/>
      <c r="VPK13" s="513"/>
      <c r="VPL13" s="513"/>
      <c r="VPM13" s="513"/>
      <c r="VPN13" s="513"/>
      <c r="VPO13" s="513"/>
      <c r="VPP13" s="513"/>
      <c r="VPQ13" s="513"/>
      <c r="VPR13" s="513"/>
      <c r="VPS13" s="513"/>
      <c r="VPT13" s="513"/>
      <c r="VPU13" s="513"/>
      <c r="VPV13" s="513"/>
      <c r="VPW13" s="513"/>
      <c r="VPX13" s="513"/>
      <c r="VPY13" s="513"/>
      <c r="VPZ13" s="513"/>
      <c r="VQA13" s="513"/>
      <c r="VQB13" s="513"/>
      <c r="VQC13" s="513"/>
      <c r="VQD13" s="513"/>
      <c r="VQE13" s="513"/>
      <c r="VQF13" s="513"/>
      <c r="VQG13" s="513"/>
      <c r="VQH13" s="513"/>
      <c r="VQI13" s="513"/>
      <c r="VQJ13" s="513"/>
      <c r="VQK13" s="513"/>
      <c r="VQL13" s="513"/>
      <c r="VQM13" s="513"/>
      <c r="VQN13" s="513"/>
      <c r="VQO13" s="513"/>
      <c r="VQP13" s="513"/>
      <c r="VQQ13" s="513"/>
      <c r="VQR13" s="513"/>
      <c r="VQS13" s="513"/>
      <c r="VQT13" s="513"/>
      <c r="VQU13" s="513"/>
      <c r="VQV13" s="513"/>
      <c r="VQW13" s="513"/>
      <c r="VQX13" s="513"/>
      <c r="VQY13" s="513"/>
      <c r="VQZ13" s="513"/>
      <c r="VRA13" s="513"/>
      <c r="VRB13" s="513"/>
      <c r="VRC13" s="513"/>
      <c r="VRD13" s="513"/>
      <c r="VRE13" s="513"/>
      <c r="VRF13" s="513"/>
      <c r="VRG13" s="513"/>
      <c r="VRH13" s="513"/>
      <c r="VRI13" s="513"/>
      <c r="VRJ13" s="513"/>
      <c r="VRK13" s="513"/>
      <c r="VRL13" s="513"/>
      <c r="VRM13" s="513"/>
      <c r="VRN13" s="513"/>
      <c r="VRO13" s="513"/>
      <c r="VRP13" s="513"/>
      <c r="VRQ13" s="513"/>
      <c r="VRR13" s="513"/>
      <c r="VRS13" s="513"/>
      <c r="VRT13" s="513"/>
      <c r="VRU13" s="513"/>
      <c r="VRV13" s="513"/>
      <c r="VRW13" s="513"/>
      <c r="VRX13" s="513"/>
      <c r="VRY13" s="513"/>
      <c r="VRZ13" s="513"/>
      <c r="VSA13" s="513"/>
      <c r="VSB13" s="513"/>
      <c r="VSC13" s="513"/>
      <c r="VSD13" s="513"/>
      <c r="VSE13" s="513"/>
      <c r="VSF13" s="513"/>
      <c r="VSG13" s="513"/>
      <c r="VSH13" s="513"/>
      <c r="VSI13" s="513"/>
      <c r="VSJ13" s="513"/>
      <c r="VSK13" s="513"/>
      <c r="VSL13" s="513"/>
      <c r="VSM13" s="513"/>
      <c r="VSN13" s="513"/>
      <c r="VSO13" s="513"/>
      <c r="VSP13" s="513"/>
      <c r="VSQ13" s="513"/>
      <c r="VSR13" s="513"/>
      <c r="VSS13" s="513"/>
      <c r="VST13" s="513"/>
      <c r="VSU13" s="513"/>
      <c r="VSV13" s="513"/>
      <c r="VSW13" s="513"/>
      <c r="VSX13" s="513"/>
      <c r="VSY13" s="513"/>
      <c r="VSZ13" s="513"/>
      <c r="VTA13" s="513"/>
      <c r="VTB13" s="513"/>
      <c r="VTC13" s="513"/>
      <c r="VTD13" s="513"/>
      <c r="VTE13" s="513"/>
      <c r="VTF13" s="513"/>
      <c r="VTG13" s="513"/>
      <c r="VTH13" s="513"/>
      <c r="VTI13" s="513"/>
      <c r="VTJ13" s="513"/>
      <c r="VTK13" s="513"/>
      <c r="VTL13" s="513"/>
      <c r="VTM13" s="513"/>
      <c r="VTN13" s="513"/>
      <c r="VTO13" s="513"/>
      <c r="VTP13" s="513"/>
      <c r="VTQ13" s="513"/>
      <c r="VTR13" s="513"/>
      <c r="VTS13" s="513"/>
      <c r="VTT13" s="513"/>
      <c r="VTU13" s="513"/>
      <c r="VTV13" s="513"/>
      <c r="VTW13" s="513"/>
      <c r="VTX13" s="513"/>
      <c r="VTY13" s="513"/>
      <c r="VTZ13" s="513"/>
      <c r="VUA13" s="513"/>
      <c r="VUB13" s="513"/>
      <c r="VUC13" s="513"/>
      <c r="VUD13" s="513"/>
      <c r="VUE13" s="513"/>
      <c r="VUF13" s="513"/>
      <c r="VUG13" s="513"/>
      <c r="VUH13" s="513"/>
      <c r="VUI13" s="513"/>
      <c r="VUJ13" s="513"/>
      <c r="VUK13" s="513"/>
      <c r="VUL13" s="513"/>
      <c r="VUM13" s="513"/>
      <c r="VUN13" s="513"/>
      <c r="VUO13" s="513"/>
      <c r="VUP13" s="513"/>
      <c r="VUQ13" s="513"/>
      <c r="VUR13" s="513"/>
      <c r="VUS13" s="513"/>
      <c r="VUT13" s="513"/>
      <c r="VUU13" s="513"/>
      <c r="VUV13" s="513"/>
      <c r="VUW13" s="513"/>
      <c r="VUX13" s="513"/>
      <c r="VUY13" s="513"/>
      <c r="VUZ13" s="513"/>
      <c r="VVA13" s="513"/>
      <c r="VVB13" s="513"/>
      <c r="VVC13" s="513"/>
      <c r="VVD13" s="513"/>
      <c r="VVE13" s="513"/>
      <c r="VVF13" s="513"/>
      <c r="VVG13" s="513"/>
      <c r="VVH13" s="513"/>
      <c r="VVI13" s="513"/>
      <c r="VVJ13" s="513"/>
      <c r="VVK13" s="513"/>
      <c r="VVL13" s="513"/>
      <c r="VVM13" s="513"/>
      <c r="VVN13" s="513"/>
      <c r="VVO13" s="513"/>
      <c r="VVP13" s="513"/>
      <c r="VVQ13" s="513"/>
      <c r="VVR13" s="513"/>
      <c r="VVS13" s="513"/>
      <c r="VVT13" s="513"/>
      <c r="VVU13" s="513"/>
      <c r="VVV13" s="513"/>
      <c r="VVW13" s="513"/>
      <c r="VVX13" s="513"/>
      <c r="VVY13" s="513"/>
      <c r="VVZ13" s="513"/>
      <c r="VWA13" s="513"/>
      <c r="VWB13" s="513"/>
      <c r="VWC13" s="513"/>
      <c r="VWD13" s="513"/>
      <c r="VWE13" s="513"/>
      <c r="VWF13" s="513"/>
      <c r="VWG13" s="513"/>
      <c r="VWH13" s="513"/>
      <c r="VWI13" s="513"/>
      <c r="VWJ13" s="513"/>
      <c r="VWK13" s="513"/>
      <c r="VWL13" s="513"/>
      <c r="VWM13" s="513"/>
      <c r="VWN13" s="513"/>
      <c r="VWO13" s="513"/>
      <c r="VWP13" s="513"/>
      <c r="VWQ13" s="513"/>
      <c r="VWR13" s="513"/>
      <c r="VWS13" s="513"/>
      <c r="VWT13" s="513"/>
      <c r="VWU13" s="513"/>
      <c r="VWV13" s="513"/>
      <c r="VWW13" s="513"/>
      <c r="VWX13" s="513"/>
      <c r="VWY13" s="513"/>
      <c r="VWZ13" s="513"/>
      <c r="VXA13" s="513"/>
      <c r="VXB13" s="513"/>
      <c r="VXC13" s="513"/>
      <c r="VXD13" s="513"/>
      <c r="VXE13" s="513"/>
      <c r="VXF13" s="513"/>
      <c r="VXG13" s="513"/>
      <c r="VXH13" s="513"/>
      <c r="VXI13" s="513"/>
      <c r="VXJ13" s="513"/>
      <c r="VXK13" s="513"/>
      <c r="VXL13" s="513"/>
      <c r="VXM13" s="513"/>
      <c r="VXN13" s="513"/>
      <c r="VXO13" s="513"/>
      <c r="VXP13" s="513"/>
      <c r="VXQ13" s="513"/>
      <c r="VXR13" s="513"/>
      <c r="VXS13" s="513"/>
      <c r="VXT13" s="513"/>
      <c r="VXU13" s="513"/>
      <c r="VXV13" s="513"/>
      <c r="VXW13" s="513"/>
      <c r="VXX13" s="513"/>
      <c r="VXY13" s="513"/>
      <c r="VXZ13" s="513"/>
      <c r="VYA13" s="513"/>
      <c r="VYB13" s="513"/>
      <c r="VYC13" s="513"/>
      <c r="VYD13" s="513"/>
      <c r="VYE13" s="513"/>
      <c r="VYF13" s="513"/>
      <c r="VYG13" s="513"/>
      <c r="VYH13" s="513"/>
      <c r="VYI13" s="513"/>
      <c r="VYJ13" s="513"/>
      <c r="VYK13" s="513"/>
      <c r="VYL13" s="513"/>
      <c r="VYM13" s="513"/>
      <c r="VYN13" s="513"/>
      <c r="VYO13" s="513"/>
      <c r="VYP13" s="513"/>
      <c r="VYQ13" s="513"/>
      <c r="VYR13" s="513"/>
      <c r="VYS13" s="513"/>
      <c r="VYT13" s="513"/>
      <c r="VYU13" s="513"/>
      <c r="VYV13" s="513"/>
      <c r="VYW13" s="513"/>
      <c r="VYX13" s="513"/>
      <c r="VYY13" s="513"/>
      <c r="VYZ13" s="513"/>
      <c r="VZA13" s="513"/>
      <c r="VZB13" s="513"/>
      <c r="VZC13" s="513"/>
      <c r="VZD13" s="513"/>
      <c r="VZE13" s="513"/>
      <c r="VZF13" s="513"/>
      <c r="VZG13" s="513"/>
      <c r="VZH13" s="513"/>
      <c r="VZI13" s="513"/>
      <c r="VZJ13" s="513"/>
      <c r="VZK13" s="513"/>
      <c r="VZL13" s="513"/>
      <c r="VZM13" s="513"/>
      <c r="VZN13" s="513"/>
      <c r="VZO13" s="513"/>
      <c r="VZP13" s="513"/>
      <c r="VZQ13" s="513"/>
      <c r="VZR13" s="513"/>
      <c r="VZS13" s="513"/>
      <c r="VZT13" s="513"/>
      <c r="VZU13" s="513"/>
      <c r="VZV13" s="513"/>
      <c r="VZW13" s="513"/>
      <c r="VZX13" s="513"/>
      <c r="VZY13" s="513"/>
      <c r="VZZ13" s="513"/>
      <c r="WAA13" s="513"/>
      <c r="WAB13" s="513"/>
      <c r="WAC13" s="513"/>
      <c r="WAD13" s="513"/>
      <c r="WAE13" s="513"/>
      <c r="WAF13" s="513"/>
      <c r="WAG13" s="513"/>
      <c r="WAH13" s="513"/>
      <c r="WAI13" s="513"/>
      <c r="WAJ13" s="513"/>
      <c r="WAK13" s="513"/>
      <c r="WAL13" s="513"/>
      <c r="WAM13" s="513"/>
      <c r="WAN13" s="513"/>
      <c r="WAO13" s="513"/>
      <c r="WAP13" s="513"/>
      <c r="WAQ13" s="513"/>
      <c r="WAR13" s="513"/>
      <c r="WAS13" s="513"/>
      <c r="WAT13" s="513"/>
      <c r="WAU13" s="513"/>
      <c r="WAV13" s="513"/>
      <c r="WAW13" s="513"/>
      <c r="WAX13" s="513"/>
      <c r="WAY13" s="513"/>
      <c r="WAZ13" s="513"/>
      <c r="WBA13" s="513"/>
      <c r="WBB13" s="513"/>
      <c r="WBC13" s="513"/>
      <c r="WBD13" s="513"/>
      <c r="WBE13" s="513"/>
      <c r="WBF13" s="513"/>
      <c r="WBG13" s="513"/>
      <c r="WBH13" s="513"/>
      <c r="WBI13" s="513"/>
      <c r="WBJ13" s="513"/>
      <c r="WBK13" s="513"/>
      <c r="WBL13" s="513"/>
      <c r="WBM13" s="513"/>
      <c r="WBN13" s="513"/>
      <c r="WBO13" s="513"/>
      <c r="WBP13" s="513"/>
      <c r="WBQ13" s="513"/>
      <c r="WBR13" s="513"/>
      <c r="WBS13" s="513"/>
      <c r="WBT13" s="513"/>
      <c r="WBU13" s="513"/>
      <c r="WBV13" s="513"/>
      <c r="WBW13" s="513"/>
      <c r="WBX13" s="513"/>
      <c r="WBY13" s="513"/>
      <c r="WBZ13" s="513"/>
      <c r="WCA13" s="513"/>
      <c r="WCB13" s="513"/>
      <c r="WCC13" s="513"/>
      <c r="WCD13" s="513"/>
      <c r="WCE13" s="513"/>
      <c r="WCF13" s="513"/>
      <c r="WCG13" s="513"/>
      <c r="WCH13" s="513"/>
      <c r="WCI13" s="513"/>
      <c r="WCJ13" s="513"/>
      <c r="WCK13" s="513"/>
      <c r="WCL13" s="513"/>
      <c r="WCM13" s="513"/>
      <c r="WCN13" s="513"/>
      <c r="WCO13" s="513"/>
      <c r="WCP13" s="513"/>
      <c r="WCQ13" s="513"/>
      <c r="WCR13" s="513"/>
      <c r="WCS13" s="513"/>
      <c r="WCT13" s="513"/>
      <c r="WCU13" s="513"/>
      <c r="WCV13" s="513"/>
      <c r="WCW13" s="513"/>
      <c r="WCX13" s="513"/>
      <c r="WCY13" s="513"/>
      <c r="WCZ13" s="513"/>
      <c r="WDA13" s="513"/>
      <c r="WDB13" s="513"/>
      <c r="WDC13" s="513"/>
      <c r="WDD13" s="513"/>
      <c r="WDE13" s="513"/>
      <c r="WDF13" s="513"/>
      <c r="WDG13" s="513"/>
      <c r="WDH13" s="513"/>
      <c r="WDI13" s="513"/>
      <c r="WDJ13" s="513"/>
      <c r="WDK13" s="513"/>
      <c r="WDL13" s="513"/>
      <c r="WDM13" s="513"/>
      <c r="WDN13" s="513"/>
      <c r="WDO13" s="513"/>
      <c r="WDP13" s="513"/>
      <c r="WDQ13" s="513"/>
      <c r="WDR13" s="513"/>
      <c r="WDS13" s="513"/>
      <c r="WDT13" s="513"/>
      <c r="WDU13" s="513"/>
      <c r="WDV13" s="513"/>
      <c r="WDW13" s="513"/>
      <c r="WDX13" s="513"/>
      <c r="WDY13" s="513"/>
      <c r="WDZ13" s="513"/>
      <c r="WEA13" s="513"/>
      <c r="WEB13" s="513"/>
      <c r="WEC13" s="513"/>
      <c r="WED13" s="513"/>
      <c r="WEE13" s="513"/>
      <c r="WEF13" s="513"/>
      <c r="WEG13" s="513"/>
      <c r="WEH13" s="513"/>
      <c r="WEI13" s="513"/>
      <c r="WEJ13" s="513"/>
      <c r="WEK13" s="513"/>
      <c r="WEL13" s="513"/>
      <c r="WEM13" s="513"/>
      <c r="WEN13" s="513"/>
      <c r="WEO13" s="513"/>
      <c r="WEP13" s="513"/>
      <c r="WEQ13" s="513"/>
      <c r="WER13" s="513"/>
      <c r="WES13" s="513"/>
      <c r="WET13" s="513"/>
      <c r="WEU13" s="513"/>
      <c r="WEV13" s="513"/>
      <c r="WEW13" s="513"/>
      <c r="WEX13" s="513"/>
      <c r="WEY13" s="513"/>
      <c r="WEZ13" s="513"/>
      <c r="WFA13" s="513"/>
      <c r="WFB13" s="513"/>
      <c r="WFC13" s="513"/>
      <c r="WFD13" s="513"/>
      <c r="WFE13" s="513"/>
      <c r="WFF13" s="513"/>
      <c r="WFG13" s="513"/>
      <c r="WFH13" s="513"/>
      <c r="WFI13" s="513"/>
      <c r="WFJ13" s="513"/>
      <c r="WFK13" s="513"/>
      <c r="WFL13" s="513"/>
      <c r="WFM13" s="513"/>
      <c r="WFN13" s="513"/>
      <c r="WFO13" s="513"/>
      <c r="WFP13" s="513"/>
      <c r="WFQ13" s="513"/>
      <c r="WFR13" s="513"/>
      <c r="WFS13" s="513"/>
      <c r="WFT13" s="513"/>
      <c r="WFU13" s="513"/>
      <c r="WFV13" s="513"/>
      <c r="WFW13" s="513"/>
      <c r="WFX13" s="513"/>
      <c r="WFY13" s="513"/>
      <c r="WFZ13" s="513"/>
      <c r="WGA13" s="513"/>
      <c r="WGB13" s="513"/>
      <c r="WGC13" s="513"/>
      <c r="WGD13" s="513"/>
      <c r="WGE13" s="513"/>
      <c r="WGF13" s="513"/>
      <c r="WGG13" s="513"/>
      <c r="WGH13" s="513"/>
      <c r="WGI13" s="513"/>
      <c r="WGJ13" s="513"/>
      <c r="WGK13" s="513"/>
      <c r="WGL13" s="513"/>
      <c r="WGM13" s="513"/>
      <c r="WGN13" s="513"/>
      <c r="WGO13" s="513"/>
      <c r="WGP13" s="513"/>
      <c r="WGQ13" s="513"/>
      <c r="WGR13" s="513"/>
      <c r="WGS13" s="513"/>
      <c r="WGT13" s="513"/>
      <c r="WGU13" s="513"/>
      <c r="WGV13" s="513"/>
      <c r="WGW13" s="513"/>
      <c r="WGX13" s="513"/>
      <c r="WGY13" s="513"/>
      <c r="WGZ13" s="513"/>
      <c r="WHA13" s="513"/>
      <c r="WHB13" s="513"/>
      <c r="WHC13" s="513"/>
      <c r="WHD13" s="513"/>
      <c r="WHE13" s="513"/>
      <c r="WHF13" s="513"/>
      <c r="WHG13" s="513"/>
      <c r="WHH13" s="513"/>
      <c r="WHI13" s="513"/>
      <c r="WHJ13" s="513"/>
      <c r="WHK13" s="513"/>
      <c r="WHL13" s="513"/>
      <c r="WHM13" s="513"/>
      <c r="WHN13" s="513"/>
      <c r="WHO13" s="513"/>
      <c r="WHP13" s="513"/>
      <c r="WHQ13" s="513"/>
      <c r="WHR13" s="513"/>
      <c r="WHS13" s="513"/>
      <c r="WHT13" s="513"/>
      <c r="WHU13" s="513"/>
      <c r="WHV13" s="513"/>
      <c r="WHW13" s="513"/>
      <c r="WHX13" s="513"/>
      <c r="WHY13" s="513"/>
      <c r="WHZ13" s="513"/>
      <c r="WIA13" s="513"/>
      <c r="WIB13" s="513"/>
      <c r="WIC13" s="513"/>
      <c r="WID13" s="513"/>
      <c r="WIE13" s="513"/>
      <c r="WIF13" s="513"/>
      <c r="WIG13" s="513"/>
      <c r="WIH13" s="513"/>
      <c r="WII13" s="513"/>
      <c r="WIJ13" s="513"/>
      <c r="WIK13" s="513"/>
      <c r="WIL13" s="513"/>
      <c r="WIM13" s="513"/>
      <c r="WIN13" s="513"/>
      <c r="WIO13" s="513"/>
      <c r="WIP13" s="513"/>
      <c r="WIQ13" s="513"/>
      <c r="WIR13" s="513"/>
      <c r="WIS13" s="513"/>
      <c r="WIT13" s="513"/>
      <c r="WIU13" s="513"/>
      <c r="WIV13" s="513"/>
      <c r="WIW13" s="513"/>
      <c r="WIX13" s="513"/>
      <c r="WIY13" s="513"/>
      <c r="WIZ13" s="513"/>
      <c r="WJA13" s="513"/>
      <c r="WJB13" s="513"/>
      <c r="WJC13" s="513"/>
      <c r="WJD13" s="513"/>
      <c r="WJE13" s="513"/>
      <c r="WJF13" s="513"/>
      <c r="WJG13" s="513"/>
      <c r="WJH13" s="513"/>
      <c r="WJI13" s="513"/>
      <c r="WJJ13" s="513"/>
      <c r="WJK13" s="513"/>
      <c r="WJL13" s="513"/>
      <c r="WJM13" s="513"/>
      <c r="WJN13" s="513"/>
      <c r="WJO13" s="513"/>
      <c r="WJP13" s="513"/>
      <c r="WJQ13" s="513"/>
      <c r="WJR13" s="513"/>
      <c r="WJS13" s="513"/>
      <c r="WJT13" s="513"/>
      <c r="WJU13" s="513"/>
      <c r="WJV13" s="513"/>
      <c r="WJW13" s="513"/>
      <c r="WJX13" s="513"/>
      <c r="WJY13" s="513"/>
      <c r="WJZ13" s="513"/>
      <c r="WKA13" s="513"/>
      <c r="WKB13" s="513"/>
      <c r="WKC13" s="513"/>
      <c r="WKD13" s="513"/>
      <c r="WKE13" s="513"/>
      <c r="WKF13" s="513"/>
      <c r="WKG13" s="513"/>
      <c r="WKH13" s="513"/>
      <c r="WKI13" s="513"/>
      <c r="WKJ13" s="513"/>
      <c r="WKK13" s="513"/>
      <c r="WKL13" s="513"/>
      <c r="WKM13" s="513"/>
      <c r="WKN13" s="513"/>
      <c r="WKO13" s="513"/>
      <c r="WKP13" s="513"/>
      <c r="WKQ13" s="513"/>
      <c r="WKR13" s="513"/>
      <c r="WKS13" s="513"/>
      <c r="WKT13" s="513"/>
      <c r="WKU13" s="513"/>
      <c r="WKV13" s="513"/>
      <c r="WKW13" s="513"/>
      <c r="WKX13" s="513"/>
      <c r="WKY13" s="513"/>
      <c r="WKZ13" s="513"/>
      <c r="WLA13" s="513"/>
      <c r="WLB13" s="513"/>
      <c r="WLC13" s="513"/>
      <c r="WLD13" s="513"/>
      <c r="WLE13" s="513"/>
      <c r="WLF13" s="513"/>
      <c r="WLG13" s="513"/>
      <c r="WLH13" s="513"/>
      <c r="WLI13" s="513"/>
      <c r="WLJ13" s="513"/>
      <c r="WLK13" s="513"/>
      <c r="WLL13" s="513"/>
      <c r="WLM13" s="513"/>
      <c r="WLN13" s="513"/>
      <c r="WLO13" s="513"/>
      <c r="WLP13" s="513"/>
      <c r="WLQ13" s="513"/>
      <c r="WLR13" s="513"/>
      <c r="WLS13" s="513"/>
      <c r="WLT13" s="513"/>
      <c r="WLU13" s="513"/>
      <c r="WLV13" s="513"/>
      <c r="WLW13" s="513"/>
      <c r="WLX13" s="513"/>
      <c r="WLY13" s="513"/>
      <c r="WLZ13" s="513"/>
      <c r="WMA13" s="513"/>
      <c r="WMB13" s="513"/>
      <c r="WMC13" s="513"/>
      <c r="WMD13" s="513"/>
      <c r="WME13" s="513"/>
      <c r="WMF13" s="513"/>
      <c r="WMG13" s="513"/>
      <c r="WMH13" s="513"/>
      <c r="WMI13" s="513"/>
      <c r="WMJ13" s="513"/>
      <c r="WMK13" s="513"/>
      <c r="WML13" s="513"/>
      <c r="WMM13" s="513"/>
      <c r="WMN13" s="513"/>
      <c r="WMO13" s="513"/>
      <c r="WMP13" s="513"/>
      <c r="WMQ13" s="513"/>
      <c r="WMR13" s="513"/>
      <c r="WMS13" s="513"/>
      <c r="WMT13" s="513"/>
      <c r="WMU13" s="513"/>
      <c r="WMV13" s="513"/>
      <c r="WMW13" s="513"/>
      <c r="WMX13" s="513"/>
      <c r="WMY13" s="513"/>
      <c r="WMZ13" s="513"/>
      <c r="WNA13" s="513"/>
      <c r="WNB13" s="513"/>
      <c r="WNC13" s="513"/>
      <c r="WND13" s="513"/>
      <c r="WNE13" s="513"/>
      <c r="WNF13" s="513"/>
      <c r="WNG13" s="513"/>
      <c r="WNH13" s="513"/>
      <c r="WNI13" s="513"/>
      <c r="WNJ13" s="513"/>
      <c r="WNK13" s="513"/>
      <c r="WNL13" s="513"/>
      <c r="WNM13" s="513"/>
      <c r="WNN13" s="513"/>
      <c r="WNO13" s="513"/>
      <c r="WNP13" s="513"/>
      <c r="WNQ13" s="513"/>
      <c r="WNR13" s="513"/>
      <c r="WNS13" s="513"/>
      <c r="WNT13" s="513"/>
      <c r="WNU13" s="513"/>
      <c r="WNV13" s="513"/>
      <c r="WNW13" s="513"/>
      <c r="WNX13" s="513"/>
      <c r="WNY13" s="513"/>
      <c r="WNZ13" s="513"/>
      <c r="WOA13" s="513"/>
      <c r="WOB13" s="513"/>
      <c r="WOC13" s="513"/>
      <c r="WOD13" s="513"/>
      <c r="WOE13" s="513"/>
      <c r="WOF13" s="513"/>
      <c r="WOG13" s="513"/>
      <c r="WOH13" s="513"/>
      <c r="WOI13" s="513"/>
      <c r="WOJ13" s="513"/>
      <c r="WOK13" s="513"/>
      <c r="WOL13" s="513"/>
      <c r="WOM13" s="513"/>
      <c r="WON13" s="513"/>
      <c r="WOO13" s="513"/>
      <c r="WOP13" s="513"/>
      <c r="WOQ13" s="513"/>
      <c r="WOR13" s="513"/>
      <c r="WOS13" s="513"/>
      <c r="WOT13" s="513"/>
      <c r="WOU13" s="513"/>
      <c r="WOV13" s="513"/>
      <c r="WOW13" s="513"/>
      <c r="WOX13" s="513"/>
      <c r="WOY13" s="513"/>
      <c r="WOZ13" s="513"/>
      <c r="WPA13" s="513"/>
      <c r="WPB13" s="513"/>
      <c r="WPC13" s="513"/>
      <c r="WPD13" s="513"/>
      <c r="WPE13" s="513"/>
      <c r="WPF13" s="513"/>
      <c r="WPG13" s="513"/>
      <c r="WPH13" s="513"/>
      <c r="WPI13" s="513"/>
      <c r="WPJ13" s="513"/>
      <c r="WPK13" s="513"/>
      <c r="WPL13" s="513"/>
      <c r="WPM13" s="513"/>
      <c r="WPN13" s="513"/>
      <c r="WPO13" s="513"/>
      <c r="WPP13" s="513"/>
      <c r="WPQ13" s="513"/>
      <c r="WPR13" s="513"/>
      <c r="WPS13" s="513"/>
      <c r="WPT13" s="513"/>
      <c r="WPU13" s="513"/>
      <c r="WPV13" s="513"/>
      <c r="WPW13" s="513"/>
      <c r="WPX13" s="513"/>
      <c r="WPY13" s="513"/>
      <c r="WPZ13" s="513"/>
      <c r="WQA13" s="513"/>
      <c r="WQB13" s="513"/>
      <c r="WQC13" s="513"/>
      <c r="WQD13" s="513"/>
      <c r="WQE13" s="513"/>
      <c r="WQF13" s="513"/>
      <c r="WQG13" s="513"/>
      <c r="WQH13" s="513"/>
      <c r="WQI13" s="513"/>
      <c r="WQJ13" s="513"/>
      <c r="WQK13" s="513"/>
      <c r="WQL13" s="513"/>
      <c r="WQM13" s="513"/>
      <c r="WQN13" s="513"/>
      <c r="WQO13" s="513"/>
      <c r="WQP13" s="513"/>
      <c r="WQQ13" s="513"/>
      <c r="WQR13" s="513"/>
      <c r="WQS13" s="513"/>
      <c r="WQT13" s="513"/>
      <c r="WQU13" s="513"/>
      <c r="WQV13" s="513"/>
      <c r="WQW13" s="513"/>
      <c r="WQX13" s="513"/>
      <c r="WQY13" s="513"/>
      <c r="WQZ13" s="513"/>
      <c r="WRA13" s="513"/>
      <c r="WRB13" s="513"/>
      <c r="WRC13" s="513"/>
      <c r="WRD13" s="513"/>
      <c r="WRE13" s="513"/>
      <c r="WRF13" s="513"/>
      <c r="WRG13" s="513"/>
      <c r="WRH13" s="513"/>
      <c r="WRI13" s="513"/>
      <c r="WRJ13" s="513"/>
      <c r="WRK13" s="513"/>
      <c r="WRL13" s="513"/>
      <c r="WRM13" s="513"/>
      <c r="WRN13" s="513"/>
      <c r="WRO13" s="513"/>
      <c r="WRP13" s="513"/>
      <c r="WRQ13" s="513"/>
      <c r="WRR13" s="513"/>
      <c r="WRS13" s="513"/>
      <c r="WRT13" s="513"/>
      <c r="WRU13" s="513"/>
      <c r="WRV13" s="513"/>
      <c r="WRW13" s="513"/>
      <c r="WRX13" s="513"/>
      <c r="WRY13" s="513"/>
      <c r="WRZ13" s="513"/>
      <c r="WSA13" s="513"/>
      <c r="WSB13" s="513"/>
      <c r="WSC13" s="513"/>
      <c r="WSD13" s="513"/>
      <c r="WSE13" s="513"/>
      <c r="WSF13" s="513"/>
      <c r="WSG13" s="513"/>
      <c r="WSH13" s="513"/>
      <c r="WSI13" s="513"/>
      <c r="WSJ13" s="513"/>
      <c r="WSK13" s="513"/>
      <c r="WSL13" s="513"/>
      <c r="WSM13" s="513"/>
      <c r="WSN13" s="513"/>
      <c r="WSO13" s="513"/>
      <c r="WSP13" s="513"/>
      <c r="WSQ13" s="513"/>
      <c r="WSR13" s="513"/>
      <c r="WSS13" s="513"/>
      <c r="WST13" s="513"/>
      <c r="WSU13" s="513"/>
      <c r="WSV13" s="513"/>
      <c r="WSW13" s="513"/>
      <c r="WSX13" s="513"/>
      <c r="WSY13" s="513"/>
      <c r="WSZ13" s="513"/>
      <c r="WTA13" s="513"/>
      <c r="WTB13" s="513"/>
      <c r="WTC13" s="513"/>
      <c r="WTD13" s="513"/>
      <c r="WTE13" s="513"/>
      <c r="WTF13" s="513"/>
      <c r="WTG13" s="513"/>
      <c r="WTH13" s="513"/>
      <c r="WTI13" s="513"/>
      <c r="WTJ13" s="513"/>
      <c r="WTK13" s="513"/>
      <c r="WTL13" s="513"/>
      <c r="WTM13" s="513"/>
      <c r="WTN13" s="513"/>
      <c r="WTO13" s="513"/>
      <c r="WTP13" s="513"/>
      <c r="WTQ13" s="513"/>
      <c r="WTR13" s="513"/>
      <c r="WTS13" s="513"/>
      <c r="WTT13" s="513"/>
      <c r="WTU13" s="513"/>
      <c r="WTV13" s="513"/>
      <c r="WTW13" s="513"/>
      <c r="WTX13" s="513"/>
      <c r="WTY13" s="513"/>
      <c r="WTZ13" s="513"/>
      <c r="WUA13" s="513"/>
      <c r="WUB13" s="513"/>
      <c r="WUC13" s="513"/>
      <c r="WUD13" s="513"/>
      <c r="WUE13" s="513"/>
      <c r="WUF13" s="513"/>
      <c r="WUG13" s="513"/>
      <c r="WUH13" s="513"/>
      <c r="WUI13" s="513"/>
      <c r="WUJ13" s="513"/>
      <c r="WUK13" s="513"/>
      <c r="WUL13" s="513"/>
      <c r="WUM13" s="513"/>
      <c r="WUN13" s="513"/>
      <c r="WUO13" s="513"/>
      <c r="WUP13" s="513"/>
      <c r="WUQ13" s="513"/>
      <c r="WUR13" s="513"/>
      <c r="WUS13" s="513"/>
      <c r="WUT13" s="513"/>
      <c r="WUU13" s="513"/>
      <c r="WUV13" s="513"/>
      <c r="WUW13" s="513"/>
      <c r="WUX13" s="513"/>
      <c r="WUY13" s="513"/>
      <c r="WUZ13" s="513"/>
      <c r="WVA13" s="513"/>
      <c r="WVB13" s="513"/>
      <c r="WVC13" s="513"/>
      <c r="WVD13" s="513"/>
      <c r="WVE13" s="513"/>
      <c r="WVF13" s="513"/>
      <c r="WVG13" s="513"/>
      <c r="WVH13" s="513"/>
      <c r="WVI13" s="513"/>
      <c r="WVJ13" s="513"/>
      <c r="WVK13" s="513"/>
      <c r="WVL13" s="513"/>
      <c r="WVM13" s="513"/>
      <c r="WVN13" s="513"/>
      <c r="WVO13" s="513"/>
      <c r="WVP13" s="513"/>
      <c r="WVQ13" s="513"/>
      <c r="WVR13" s="513"/>
      <c r="WVS13" s="513"/>
      <c r="WVT13" s="513"/>
      <c r="WVU13" s="513"/>
      <c r="WVV13" s="513"/>
      <c r="WVW13" s="513"/>
      <c r="WVX13" s="513"/>
      <c r="WVY13" s="513"/>
      <c r="WVZ13" s="513"/>
      <c r="WWA13" s="513"/>
      <c r="WWB13" s="513"/>
      <c r="WWC13" s="513"/>
      <c r="WWD13" s="513"/>
      <c r="WWE13" s="513"/>
      <c r="WWF13" s="513"/>
      <c r="WWG13" s="513"/>
      <c r="WWH13" s="513"/>
      <c r="WWI13" s="513"/>
      <c r="WWJ13" s="513"/>
      <c r="WWK13" s="513"/>
      <c r="WWL13" s="513"/>
      <c r="WWM13" s="513"/>
      <c r="WWN13" s="513"/>
      <c r="WWO13" s="513"/>
      <c r="WWP13" s="513"/>
      <c r="WWQ13" s="513"/>
      <c r="WWR13" s="513"/>
      <c r="WWS13" s="513"/>
      <c r="WWT13" s="513"/>
      <c r="WWU13" s="513"/>
      <c r="WWV13" s="513"/>
      <c r="WWW13" s="513"/>
      <c r="WWX13" s="513"/>
      <c r="WWY13" s="513"/>
      <c r="WWZ13" s="513"/>
      <c r="WXA13" s="513"/>
      <c r="WXB13" s="513"/>
      <c r="WXC13" s="513"/>
      <c r="WXD13" s="513"/>
      <c r="WXE13" s="513"/>
      <c r="WXF13" s="513"/>
      <c r="WXG13" s="513"/>
      <c r="WXH13" s="513"/>
      <c r="WXI13" s="513"/>
      <c r="WXJ13" s="513"/>
      <c r="WXK13" s="513"/>
      <c r="WXL13" s="513"/>
      <c r="WXM13" s="513"/>
      <c r="WXN13" s="513"/>
      <c r="WXO13" s="513"/>
      <c r="WXP13" s="513"/>
      <c r="WXQ13" s="513"/>
      <c r="WXR13" s="513"/>
      <c r="WXS13" s="513"/>
      <c r="WXT13" s="513"/>
      <c r="WXU13" s="513"/>
      <c r="WXV13" s="513"/>
      <c r="WXW13" s="513"/>
      <c r="WXX13" s="513"/>
      <c r="WXY13" s="513"/>
      <c r="WXZ13" s="513"/>
      <c r="WYA13" s="513"/>
      <c r="WYB13" s="513"/>
      <c r="WYC13" s="513"/>
      <c r="WYD13" s="513"/>
      <c r="WYE13" s="513"/>
      <c r="WYF13" s="513"/>
      <c r="WYG13" s="513"/>
      <c r="WYH13" s="513"/>
      <c r="WYI13" s="513"/>
      <c r="WYJ13" s="513"/>
      <c r="WYK13" s="513"/>
      <c r="WYL13" s="513"/>
      <c r="WYM13" s="513"/>
      <c r="WYN13" s="513"/>
      <c r="WYO13" s="513"/>
      <c r="WYP13" s="513"/>
      <c r="WYQ13" s="513"/>
      <c r="WYR13" s="513"/>
      <c r="WYS13" s="513"/>
      <c r="WYT13" s="513"/>
      <c r="WYU13" s="513"/>
      <c r="WYV13" s="513"/>
      <c r="WYW13" s="513"/>
      <c r="WYX13" s="513"/>
      <c r="WYY13" s="513"/>
      <c r="WYZ13" s="513"/>
      <c r="WZA13" s="513"/>
      <c r="WZB13" s="513"/>
      <c r="WZC13" s="513"/>
      <c r="WZD13" s="513"/>
      <c r="WZE13" s="513"/>
      <c r="WZF13" s="513"/>
      <c r="WZG13" s="513"/>
      <c r="WZH13" s="513"/>
      <c r="WZI13" s="513"/>
      <c r="WZJ13" s="513"/>
      <c r="WZK13" s="513"/>
      <c r="WZL13" s="513"/>
      <c r="WZM13" s="513"/>
      <c r="WZN13" s="513"/>
      <c r="WZO13" s="513"/>
      <c r="WZP13" s="513"/>
      <c r="WZQ13" s="513"/>
      <c r="WZR13" s="513"/>
      <c r="WZS13" s="513"/>
      <c r="WZT13" s="513"/>
      <c r="WZU13" s="513"/>
      <c r="WZV13" s="513"/>
      <c r="WZW13" s="513"/>
      <c r="WZX13" s="513"/>
      <c r="WZY13" s="513"/>
      <c r="WZZ13" s="513"/>
      <c r="XAA13" s="513"/>
      <c r="XAB13" s="513"/>
      <c r="XAC13" s="513"/>
      <c r="XAD13" s="513"/>
      <c r="XAE13" s="513"/>
      <c r="XAF13" s="513"/>
      <c r="XAG13" s="513"/>
      <c r="XAH13" s="513"/>
      <c r="XAI13" s="513"/>
      <c r="XAJ13" s="513"/>
      <c r="XAK13" s="513"/>
      <c r="XAL13" s="513"/>
      <c r="XAM13" s="513"/>
      <c r="XAN13" s="513"/>
      <c r="XAO13" s="513"/>
      <c r="XAP13" s="513"/>
      <c r="XAQ13" s="513"/>
      <c r="XAR13" s="513"/>
      <c r="XAS13" s="513"/>
      <c r="XAT13" s="513"/>
      <c r="XAU13" s="513"/>
      <c r="XAV13" s="513"/>
      <c r="XAW13" s="513"/>
      <c r="XAX13" s="513"/>
      <c r="XAY13" s="513"/>
      <c r="XAZ13" s="513"/>
      <c r="XBA13" s="513"/>
      <c r="XBB13" s="513"/>
      <c r="XBC13" s="513"/>
      <c r="XBD13" s="513"/>
      <c r="XBE13" s="513"/>
      <c r="XBF13" s="513"/>
      <c r="XBG13" s="513"/>
      <c r="XBH13" s="513"/>
      <c r="XBI13" s="513"/>
      <c r="XBJ13" s="513"/>
      <c r="XBK13" s="513"/>
      <c r="XBL13" s="513"/>
      <c r="XBM13" s="513"/>
      <c r="XBN13" s="513"/>
      <c r="XBO13" s="513"/>
      <c r="XBP13" s="513"/>
      <c r="XBQ13" s="513"/>
      <c r="XBR13" s="513"/>
      <c r="XBS13" s="513"/>
      <c r="XBT13" s="513"/>
      <c r="XBU13" s="513"/>
      <c r="XBV13" s="513"/>
      <c r="XBW13" s="513"/>
      <c r="XBX13" s="513"/>
      <c r="XBY13" s="513"/>
      <c r="XBZ13" s="513"/>
      <c r="XCA13" s="513"/>
      <c r="XCB13" s="513"/>
      <c r="XCC13" s="513"/>
      <c r="XCD13" s="513"/>
      <c r="XCE13" s="513"/>
      <c r="XCF13" s="513"/>
      <c r="XCG13" s="513"/>
      <c r="XCH13" s="513"/>
      <c r="XCI13" s="513"/>
      <c r="XCJ13" s="513"/>
      <c r="XCK13" s="513"/>
      <c r="XCL13" s="513"/>
      <c r="XCM13" s="513"/>
      <c r="XCN13" s="513"/>
      <c r="XCO13" s="513"/>
      <c r="XCP13" s="513"/>
      <c r="XCQ13" s="513"/>
      <c r="XCR13" s="513"/>
      <c r="XCS13" s="513"/>
      <c r="XCT13" s="513"/>
      <c r="XCU13" s="513"/>
      <c r="XCV13" s="513"/>
      <c r="XCW13" s="513"/>
      <c r="XCX13" s="513"/>
      <c r="XCY13" s="513"/>
      <c r="XCZ13" s="513"/>
      <c r="XDA13" s="513"/>
      <c r="XDB13" s="513"/>
      <c r="XDC13" s="513"/>
      <c r="XDD13" s="513"/>
      <c r="XDE13" s="513"/>
      <c r="XDF13" s="513"/>
      <c r="XDG13" s="513"/>
      <c r="XDH13" s="513"/>
      <c r="XDI13" s="513"/>
      <c r="XDJ13" s="513"/>
      <c r="XDK13" s="513"/>
      <c r="XDL13" s="513"/>
      <c r="XDM13" s="513"/>
      <c r="XDN13" s="513"/>
      <c r="XDO13" s="513"/>
      <c r="XDP13" s="513"/>
      <c r="XDQ13" s="513"/>
      <c r="XDR13" s="513"/>
      <c r="XDS13" s="513"/>
      <c r="XDT13" s="513"/>
      <c r="XDU13" s="513"/>
      <c r="XDV13" s="513"/>
      <c r="XDW13" s="513"/>
      <c r="XDX13" s="513"/>
      <c r="XDY13" s="513"/>
      <c r="XDZ13" s="513"/>
      <c r="XEA13" s="513"/>
      <c r="XEB13" s="513"/>
      <c r="XEC13" s="513"/>
      <c r="XED13" s="513"/>
      <c r="XEE13" s="513"/>
      <c r="XEF13" s="513"/>
      <c r="XEG13" s="513"/>
      <c r="XEH13" s="513"/>
      <c r="XEI13" s="513"/>
      <c r="XEJ13" s="513"/>
    </row>
    <row r="14" spans="1:16364" s="34" customFormat="1" ht="36" customHeight="1">
      <c r="A14" s="223"/>
      <c r="B14" s="1440" t="s">
        <v>3261</v>
      </c>
      <c r="C14" s="1439">
        <f t="shared" ref="C14:C16" si="3">D14</f>
        <v>1080773</v>
      </c>
      <c r="D14" s="1439">
        <v>1080773</v>
      </c>
      <c r="E14" s="1434"/>
      <c r="F14" s="1439">
        <f t="shared" ref="F14:F16" si="4">G14</f>
        <v>1276771</v>
      </c>
      <c r="G14" s="1439">
        <f>PLI.Candoi21.25!V11</f>
        <v>1276771</v>
      </c>
      <c r="H14" s="1434"/>
      <c r="I14" s="223" t="s">
        <v>3283</v>
      </c>
    </row>
    <row r="15" spans="1:16364" s="34" customFormat="1" ht="36" customHeight="1">
      <c r="A15" s="223"/>
      <c r="B15" s="1440" t="s">
        <v>3262</v>
      </c>
      <c r="C15" s="1439">
        <f t="shared" si="3"/>
        <v>7798688</v>
      </c>
      <c r="D15" s="1439">
        <v>7798688</v>
      </c>
      <c r="E15" s="1434"/>
      <c r="F15" s="1439">
        <f t="shared" si="4"/>
        <v>8122688</v>
      </c>
      <c r="G15" s="1439">
        <f>PLII.XSKT21.25!O11</f>
        <v>8122688</v>
      </c>
      <c r="H15" s="1434"/>
      <c r="I15" s="223" t="s">
        <v>3283</v>
      </c>
    </row>
    <row r="16" spans="1:16364" s="34" customFormat="1" ht="36" customHeight="1">
      <c r="A16" s="223"/>
      <c r="B16" s="1440" t="s">
        <v>3263</v>
      </c>
      <c r="C16" s="1439">
        <f t="shared" si="3"/>
        <v>556900</v>
      </c>
      <c r="D16" s="1439">
        <v>556900</v>
      </c>
      <c r="E16" s="1434"/>
      <c r="F16" s="1439">
        <f t="shared" si="4"/>
        <v>655287</v>
      </c>
      <c r="G16" s="1439">
        <f>PLI.Candoi21.25!AA11</f>
        <v>655287</v>
      </c>
      <c r="H16" s="1434"/>
      <c r="I16" s="223" t="s">
        <v>3283</v>
      </c>
    </row>
    <row r="17" spans="1:9" s="34" customFormat="1" ht="36" customHeight="1">
      <c r="A17" s="1422" t="s">
        <v>359</v>
      </c>
      <c r="B17" s="45" t="s">
        <v>3264</v>
      </c>
      <c r="C17" s="1429">
        <f>SUM(C18:C21)</f>
        <v>11733723</v>
      </c>
      <c r="D17" s="1429">
        <f t="shared" ref="D17:H17" si="5">SUM(D18:D21)</f>
        <v>9041344</v>
      </c>
      <c r="E17" s="1429">
        <f t="shared" si="5"/>
        <v>2692379</v>
      </c>
      <c r="F17" s="1429">
        <f t="shared" si="5"/>
        <v>11733723</v>
      </c>
      <c r="G17" s="1429">
        <f t="shared" si="5"/>
        <v>9041344</v>
      </c>
      <c r="H17" s="1429">
        <f t="shared" si="5"/>
        <v>2692379</v>
      </c>
      <c r="I17" s="1422"/>
    </row>
    <row r="18" spans="1:9" s="34" customFormat="1" ht="37.5" customHeight="1">
      <c r="A18" s="223"/>
      <c r="B18" s="1440" t="s">
        <v>3265</v>
      </c>
      <c r="C18" s="1439">
        <f>D18+E18</f>
        <v>9281136</v>
      </c>
      <c r="D18" s="1439">
        <v>6588757</v>
      </c>
      <c r="E18" s="1439">
        <f>2486379+206000</f>
        <v>2692379</v>
      </c>
      <c r="F18" s="1439">
        <f>G18+H18</f>
        <v>9281136</v>
      </c>
      <c r="G18" s="1439">
        <f>D18</f>
        <v>6588757</v>
      </c>
      <c r="H18" s="1439">
        <f>E18</f>
        <v>2692379</v>
      </c>
      <c r="I18" s="1422"/>
    </row>
    <row r="19" spans="1:9" s="34" customFormat="1" ht="50.25" customHeight="1">
      <c r="A19" s="223"/>
      <c r="B19" s="1440" t="s">
        <v>3269</v>
      </c>
      <c r="C19" s="1433">
        <v>200000</v>
      </c>
      <c r="D19" s="1433">
        <v>200000</v>
      </c>
      <c r="E19" s="1441"/>
      <c r="F19" s="1433">
        <v>200000</v>
      </c>
      <c r="G19" s="1433">
        <v>200000</v>
      </c>
      <c r="H19" s="1441"/>
      <c r="I19" s="1422"/>
    </row>
    <row r="20" spans="1:9" s="34" customFormat="1" ht="50.25" customHeight="1">
      <c r="A20" s="223"/>
      <c r="B20" s="1440" t="s">
        <v>3270</v>
      </c>
      <c r="C20" s="1442">
        <v>1045000</v>
      </c>
      <c r="D20" s="1442">
        <v>1045000</v>
      </c>
      <c r="E20" s="1441"/>
      <c r="F20" s="1442">
        <v>1045000</v>
      </c>
      <c r="G20" s="1442">
        <v>1045000</v>
      </c>
      <c r="H20" s="1441"/>
      <c r="I20" s="1422"/>
    </row>
    <row r="21" spans="1:9" s="34" customFormat="1" ht="37.5" customHeight="1">
      <c r="A21" s="223"/>
      <c r="B21" s="1440" t="s">
        <v>3277</v>
      </c>
      <c r="C21" s="1439">
        <f>SUM(C23:C24)</f>
        <v>1207587</v>
      </c>
      <c r="D21" s="1439">
        <f t="shared" ref="D21:G21" si="6">SUM(D23:D24)</f>
        <v>1207587</v>
      </c>
      <c r="E21" s="1439"/>
      <c r="F21" s="1439">
        <f t="shared" si="6"/>
        <v>1207587</v>
      </c>
      <c r="G21" s="1439">
        <f t="shared" si="6"/>
        <v>1207587</v>
      </c>
      <c r="H21" s="1439"/>
      <c r="I21" s="1422"/>
    </row>
    <row r="22" spans="1:9" s="1431" customFormat="1" ht="27" customHeight="1">
      <c r="A22" s="1423"/>
      <c r="B22" s="1432" t="s">
        <v>75</v>
      </c>
      <c r="C22" s="1430"/>
      <c r="D22" s="1430"/>
      <c r="E22" s="1430"/>
      <c r="F22" s="1430"/>
      <c r="G22" s="1430"/>
      <c r="H22" s="1430"/>
      <c r="I22" s="1435"/>
    </row>
    <row r="23" spans="1:9" s="34" customFormat="1" ht="46.5" customHeight="1">
      <c r="A23" s="1423"/>
      <c r="B23" s="1432" t="s">
        <v>3278</v>
      </c>
      <c r="C23" s="1430">
        <f>D23</f>
        <v>873080</v>
      </c>
      <c r="D23" s="1430">
        <v>873080</v>
      </c>
      <c r="E23" s="1434"/>
      <c r="F23" s="1430">
        <f>G23</f>
        <v>873080</v>
      </c>
      <c r="G23" s="1430">
        <v>873080</v>
      </c>
      <c r="H23" s="1430"/>
      <c r="I23" s="223" t="s">
        <v>3282</v>
      </c>
    </row>
    <row r="24" spans="1:9" s="34" customFormat="1" ht="50.25" customHeight="1">
      <c r="A24" s="1423"/>
      <c r="B24" s="1432" t="s">
        <v>3279</v>
      </c>
      <c r="C24" s="1430">
        <f>D24</f>
        <v>334507</v>
      </c>
      <c r="D24" s="1430">
        <v>334507</v>
      </c>
      <c r="E24" s="1434"/>
      <c r="F24" s="1430">
        <f>G24</f>
        <v>334507</v>
      </c>
      <c r="G24" s="1430">
        <v>334507</v>
      </c>
      <c r="H24" s="1430"/>
      <c r="I24" s="223" t="s">
        <v>3282</v>
      </c>
    </row>
    <row r="25" spans="1:9" s="34" customFormat="1" ht="54.75" customHeight="1">
      <c r="A25" s="1422" t="s">
        <v>109</v>
      </c>
      <c r="B25" s="45" t="s">
        <v>3266</v>
      </c>
      <c r="C25" s="1429">
        <f>SUM(C26:C30)</f>
        <v>921009</v>
      </c>
      <c r="D25" s="1429">
        <f t="shared" ref="D25:G25" si="7">SUM(D26:D30)</f>
        <v>921009</v>
      </c>
      <c r="E25" s="1429"/>
      <c r="F25" s="1429">
        <f t="shared" si="7"/>
        <v>1395715</v>
      </c>
      <c r="G25" s="1429">
        <f t="shared" si="7"/>
        <v>1395715</v>
      </c>
      <c r="H25" s="1429"/>
      <c r="I25" s="1422"/>
    </row>
    <row r="26" spans="1:9" s="34" customFormat="1" ht="31.5" customHeight="1">
      <c r="A26" s="1423"/>
      <c r="B26" s="1432" t="s">
        <v>3267</v>
      </c>
      <c r="C26" s="1430">
        <f>D26</f>
        <v>161960</v>
      </c>
      <c r="D26" s="1430">
        <v>161960</v>
      </c>
      <c r="E26" s="1434"/>
      <c r="F26" s="1430">
        <f>G26</f>
        <v>77950</v>
      </c>
      <c r="G26" s="1430">
        <f>PLI.Candoi21.25!W11</f>
        <v>77950</v>
      </c>
      <c r="H26" s="1434"/>
      <c r="I26" s="223" t="s">
        <v>3284</v>
      </c>
    </row>
    <row r="27" spans="1:9" s="34" customFormat="1" ht="31.5" customHeight="1">
      <c r="A27" s="1423"/>
      <c r="B27" s="1432" t="s">
        <v>3268</v>
      </c>
      <c r="C27" s="1430">
        <f>D27</f>
        <v>734530</v>
      </c>
      <c r="D27" s="1430">
        <v>734530</v>
      </c>
      <c r="E27" s="1434"/>
      <c r="F27" s="1430">
        <f>G27</f>
        <v>860246</v>
      </c>
      <c r="G27" s="1430">
        <f>PLII.XSKT21.25!R11</f>
        <v>860246</v>
      </c>
      <c r="H27" s="1434"/>
      <c r="I27" s="223" t="s">
        <v>3283</v>
      </c>
    </row>
    <row r="28" spans="1:9" s="34" customFormat="1" ht="31.5" customHeight="1">
      <c r="A28" s="1423"/>
      <c r="B28" s="1432" t="s">
        <v>3273</v>
      </c>
      <c r="C28" s="1430">
        <f>D28</f>
        <v>24519</v>
      </c>
      <c r="D28" s="1430">
        <f>6755+17764</f>
        <v>24519</v>
      </c>
      <c r="E28" s="1434"/>
      <c r="F28" s="1430">
        <f>G28</f>
        <v>24519</v>
      </c>
      <c r="G28" s="1430">
        <f>'Biểu tổng'!D28</f>
        <v>24519</v>
      </c>
      <c r="H28" s="1434"/>
      <c r="I28" s="223"/>
    </row>
    <row r="29" spans="1:9" s="34" customFormat="1" ht="31.5" customHeight="1">
      <c r="A29" s="1423"/>
      <c r="B29" s="1432" t="s">
        <v>3274</v>
      </c>
      <c r="C29" s="1430"/>
      <c r="D29" s="1430"/>
      <c r="E29" s="1434"/>
      <c r="F29" s="1430">
        <f t="shared" ref="F29:F30" si="8">G29</f>
        <v>296000</v>
      </c>
      <c r="G29" s="1430">
        <f>PLI.Candoi21.25!Y11</f>
        <v>296000</v>
      </c>
      <c r="H29" s="1434"/>
      <c r="I29" s="223" t="s">
        <v>3285</v>
      </c>
    </row>
    <row r="30" spans="1:9" s="34" customFormat="1" ht="31.5" customHeight="1">
      <c r="A30" s="1423"/>
      <c r="B30" s="1432" t="s">
        <v>3275</v>
      </c>
      <c r="C30" s="1430"/>
      <c r="D30" s="1430"/>
      <c r="E30" s="1434"/>
      <c r="F30" s="1430">
        <f t="shared" si="8"/>
        <v>137000</v>
      </c>
      <c r="G30" s="1430">
        <f>PLI.Candoi21.25!Z11</f>
        <v>137000</v>
      </c>
      <c r="H30" s="1434"/>
      <c r="I30" s="223" t="s">
        <v>3285</v>
      </c>
    </row>
    <row r="31" spans="1:9" ht="19.5">
      <c r="A31" s="1436" t="s">
        <v>208</v>
      </c>
      <c r="B31" s="1436"/>
      <c r="C31" s="1436"/>
      <c r="D31" s="1436"/>
      <c r="E31" s="1436"/>
      <c r="F31" s="1436"/>
      <c r="G31" s="1436"/>
      <c r="H31" s="1436"/>
      <c r="I31" s="1436"/>
    </row>
    <row r="32" spans="1:9">
      <c r="A32" s="1437" t="s">
        <v>3271</v>
      </c>
      <c r="B32" s="1437"/>
      <c r="C32" s="1437"/>
      <c r="D32" s="1437"/>
      <c r="E32" s="1437"/>
      <c r="F32" s="1437"/>
      <c r="G32" s="1437"/>
      <c r="H32" s="1437"/>
      <c r="I32" s="1437"/>
    </row>
    <row r="35" spans="1:1">
      <c r="A35" s="513"/>
    </row>
  </sheetData>
  <mergeCells count="15">
    <mergeCell ref="A31:I31"/>
    <mergeCell ref="A32:I32"/>
    <mergeCell ref="C6:C7"/>
    <mergeCell ref="D6:E6"/>
    <mergeCell ref="F6:F7"/>
    <mergeCell ref="G6:H6"/>
    <mergeCell ref="A1:I1"/>
    <mergeCell ref="A2:I2"/>
    <mergeCell ref="A3:I3"/>
    <mergeCell ref="A4:I4"/>
    <mergeCell ref="A5:A7"/>
    <mergeCell ref="B5:B7"/>
    <mergeCell ref="C5:E5"/>
    <mergeCell ref="F5:H5"/>
    <mergeCell ref="I5:I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A480"/>
  <sheetViews>
    <sheetView showWhiteSpace="0" topLeftCell="A5" zoomScale="50" zoomScaleNormal="50" zoomScaleSheetLayoutView="40" zoomScalePageLayoutView="69" workbookViewId="0">
      <pane xSplit="2" ySplit="7" topLeftCell="O18" activePane="bottomRight" state="frozen"/>
      <selection activeCell="A5" sqref="A5"/>
      <selection pane="topRight" activeCell="C5" sqref="C5"/>
      <selection pane="bottomLeft" activeCell="A12" sqref="A12"/>
      <selection pane="bottomRight" activeCell="Y8" sqref="Y8:Y9"/>
    </sheetView>
  </sheetViews>
  <sheetFormatPr defaultColWidth="9.140625" defaultRowHeight="22.5"/>
  <cols>
    <col min="1" max="1" width="10.140625" style="733" customWidth="1"/>
    <col min="2" max="2" width="80.140625" style="605" customWidth="1"/>
    <col min="3" max="3" width="14.7109375" style="605" customWidth="1"/>
    <col min="4" max="4" width="21.140625" style="733" customWidth="1"/>
    <col min="5" max="5" width="22" style="734" customWidth="1"/>
    <col min="6" max="6" width="21.28515625" style="734" customWidth="1"/>
    <col min="7" max="7" width="15.5703125" style="734" customWidth="1"/>
    <col min="8" max="8" width="20.85546875" style="734" customWidth="1"/>
    <col min="9" max="9" width="21.85546875" style="734" customWidth="1"/>
    <col min="10" max="10" width="17" style="734" customWidth="1"/>
    <col min="11" max="11" width="16.7109375" style="734" customWidth="1"/>
    <col min="12" max="12" width="17" style="734" customWidth="1"/>
    <col min="13" max="13" width="18.28515625" style="734" customWidth="1"/>
    <col min="14" max="14" width="18.5703125" style="734" customWidth="1"/>
    <col min="15" max="15" width="18.85546875" style="734" customWidth="1"/>
    <col min="16" max="16" width="17" style="734" customWidth="1"/>
    <col min="17" max="17" width="20.140625" style="734" customWidth="1"/>
    <col min="18" max="18" width="20.85546875" style="734" customWidth="1"/>
    <col min="19" max="19" width="15.140625" style="734" customWidth="1"/>
    <col min="20" max="20" width="13.42578125" style="734" customWidth="1"/>
    <col min="21" max="21" width="19.42578125" style="734" customWidth="1"/>
    <col min="22" max="22" width="19.28515625" style="734" customWidth="1"/>
    <col min="23" max="26" width="16.42578125" style="734" customWidth="1"/>
    <col min="27" max="27" width="20.28515625" style="734" customWidth="1"/>
    <col min="28" max="28" width="46.85546875" style="732" customWidth="1"/>
    <col min="29" max="29" width="8.5703125" style="605" customWidth="1"/>
    <col min="30" max="30" width="11.5703125" style="605" customWidth="1"/>
    <col min="31" max="16384" width="9.140625" style="605"/>
  </cols>
  <sheetData>
    <row r="1" spans="1:28" s="604" customFormat="1" ht="58.5" customHeight="1">
      <c r="A1" s="1222" t="s">
        <v>2135</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row>
    <row r="2" spans="1:28" ht="69.75" customHeight="1">
      <c r="A2" s="1222" t="s">
        <v>2147</v>
      </c>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row>
    <row r="3" spans="1:28" ht="44.25" customHeight="1">
      <c r="A3" s="1223" t="s">
        <v>2378</v>
      </c>
      <c r="B3" s="1222"/>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row>
    <row r="4" spans="1:28" ht="33.75" customHeight="1">
      <c r="A4" s="1224" t="s">
        <v>6</v>
      </c>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row>
    <row r="5" spans="1:28" s="606" customFormat="1" ht="41.25" customHeight="1">
      <c r="A5" s="1215" t="s">
        <v>7</v>
      </c>
      <c r="B5" s="1215" t="s">
        <v>69</v>
      </c>
      <c r="C5" s="1208" t="s">
        <v>70</v>
      </c>
      <c r="D5" s="1225" t="s">
        <v>71</v>
      </c>
      <c r="E5" s="1226"/>
      <c r="F5" s="1226"/>
      <c r="G5" s="1227"/>
      <c r="H5" s="1231" t="s">
        <v>2208</v>
      </c>
      <c r="I5" s="1232"/>
      <c r="J5" s="1232"/>
      <c r="K5" s="1232"/>
      <c r="L5" s="1232"/>
      <c r="M5" s="1232"/>
      <c r="N5" s="1232"/>
      <c r="O5" s="1233"/>
      <c r="P5" s="1238" t="s">
        <v>2207</v>
      </c>
      <c r="Q5" s="1231" t="s">
        <v>1847</v>
      </c>
      <c r="R5" s="1232"/>
      <c r="S5" s="1232"/>
      <c r="T5" s="1232"/>
      <c r="U5" s="1232"/>
      <c r="V5" s="1232"/>
      <c r="W5" s="1232"/>
      <c r="X5" s="1232"/>
      <c r="Y5" s="1232"/>
      <c r="Z5" s="1232"/>
      <c r="AA5" s="1233"/>
      <c r="AB5" s="1215" t="s">
        <v>11</v>
      </c>
    </row>
    <row r="6" spans="1:28" s="607" customFormat="1" ht="27.75" customHeight="1">
      <c r="A6" s="1215"/>
      <c r="B6" s="1215"/>
      <c r="C6" s="1237"/>
      <c r="D6" s="1228"/>
      <c r="E6" s="1229"/>
      <c r="F6" s="1229"/>
      <c r="G6" s="1230"/>
      <c r="H6" s="1234"/>
      <c r="I6" s="1235"/>
      <c r="J6" s="1235"/>
      <c r="K6" s="1235"/>
      <c r="L6" s="1235"/>
      <c r="M6" s="1235"/>
      <c r="N6" s="1235"/>
      <c r="O6" s="1236"/>
      <c r="P6" s="1239"/>
      <c r="Q6" s="1234"/>
      <c r="R6" s="1235"/>
      <c r="S6" s="1235"/>
      <c r="T6" s="1235"/>
      <c r="U6" s="1235"/>
      <c r="V6" s="1235"/>
      <c r="W6" s="1235"/>
      <c r="X6" s="1235"/>
      <c r="Y6" s="1235"/>
      <c r="Z6" s="1235"/>
      <c r="AA6" s="1236"/>
      <c r="AB6" s="1215"/>
    </row>
    <row r="7" spans="1:28" s="607" customFormat="1" ht="39.75" customHeight="1">
      <c r="A7" s="1215"/>
      <c r="B7" s="1215"/>
      <c r="C7" s="1237"/>
      <c r="D7" s="1215" t="s">
        <v>72</v>
      </c>
      <c r="E7" s="1225" t="s">
        <v>73</v>
      </c>
      <c r="F7" s="1226"/>
      <c r="G7" s="1227"/>
      <c r="H7" s="1215" t="s">
        <v>74</v>
      </c>
      <c r="I7" s="1215" t="s">
        <v>276</v>
      </c>
      <c r="J7" s="1215"/>
      <c r="K7" s="1215"/>
      <c r="L7" s="1215"/>
      <c r="M7" s="1215" t="s">
        <v>1848</v>
      </c>
      <c r="N7" s="1215"/>
      <c r="O7" s="1215"/>
      <c r="P7" s="1239"/>
      <c r="Q7" s="1215" t="s">
        <v>74</v>
      </c>
      <c r="R7" s="1215" t="s">
        <v>276</v>
      </c>
      <c r="S7" s="1215"/>
      <c r="T7" s="1215"/>
      <c r="U7" s="1215"/>
      <c r="V7" s="1215"/>
      <c r="W7" s="1215" t="s">
        <v>1848</v>
      </c>
      <c r="X7" s="1215"/>
      <c r="Y7" s="1215"/>
      <c r="Z7" s="1215"/>
      <c r="AA7" s="1215"/>
      <c r="AB7" s="1215"/>
    </row>
    <row r="8" spans="1:28" s="607" customFormat="1" ht="39.75" customHeight="1">
      <c r="A8" s="1215"/>
      <c r="B8" s="1215"/>
      <c r="C8" s="1237"/>
      <c r="D8" s="1215"/>
      <c r="E8" s="1215" t="s">
        <v>74</v>
      </c>
      <c r="F8" s="1215" t="s">
        <v>76</v>
      </c>
      <c r="G8" s="1215" t="s">
        <v>77</v>
      </c>
      <c r="H8" s="1215"/>
      <c r="I8" s="1215" t="s">
        <v>81</v>
      </c>
      <c r="J8" s="1217" t="s">
        <v>75</v>
      </c>
      <c r="K8" s="1218"/>
      <c r="L8" s="1215" t="s">
        <v>78</v>
      </c>
      <c r="M8" s="1215" t="s">
        <v>79</v>
      </c>
      <c r="N8" s="1215" t="s">
        <v>80</v>
      </c>
      <c r="O8" s="1215" t="s">
        <v>83</v>
      </c>
      <c r="P8" s="1239"/>
      <c r="Q8" s="1215"/>
      <c r="R8" s="1215" t="s">
        <v>81</v>
      </c>
      <c r="S8" s="1217" t="s">
        <v>75</v>
      </c>
      <c r="T8" s="1218"/>
      <c r="U8" s="1221" t="s">
        <v>2275</v>
      </c>
      <c r="V8" s="1215" t="s">
        <v>78</v>
      </c>
      <c r="W8" s="1215" t="s">
        <v>79</v>
      </c>
      <c r="X8" s="1215" t="s">
        <v>80</v>
      </c>
      <c r="Y8" s="1208" t="s">
        <v>2209</v>
      </c>
      <c r="Z8" s="1208" t="s">
        <v>2379</v>
      </c>
      <c r="AA8" s="1215" t="s">
        <v>83</v>
      </c>
      <c r="AB8" s="1215"/>
    </row>
    <row r="9" spans="1:28" s="607" customFormat="1" ht="203.25" customHeight="1">
      <c r="A9" s="1215"/>
      <c r="B9" s="1215"/>
      <c r="C9" s="1209"/>
      <c r="D9" s="1215"/>
      <c r="E9" s="1215"/>
      <c r="F9" s="1215"/>
      <c r="G9" s="1215"/>
      <c r="H9" s="1215"/>
      <c r="I9" s="1216"/>
      <c r="J9" s="608" t="s">
        <v>84</v>
      </c>
      <c r="K9" s="608" t="s">
        <v>85</v>
      </c>
      <c r="L9" s="1216"/>
      <c r="M9" s="1216"/>
      <c r="N9" s="1216"/>
      <c r="O9" s="1216"/>
      <c r="P9" s="1240"/>
      <c r="Q9" s="1215"/>
      <c r="R9" s="1216"/>
      <c r="S9" s="608" t="s">
        <v>84</v>
      </c>
      <c r="T9" s="608" t="s">
        <v>85</v>
      </c>
      <c r="U9" s="1220"/>
      <c r="V9" s="1216"/>
      <c r="W9" s="1216"/>
      <c r="X9" s="1216"/>
      <c r="Y9" s="1219"/>
      <c r="Z9" s="1220"/>
      <c r="AA9" s="1216"/>
      <c r="AB9" s="1215"/>
    </row>
    <row r="10" spans="1:28" s="610" customFormat="1" ht="37.5" customHeight="1">
      <c r="A10" s="609">
        <v>1</v>
      </c>
      <c r="B10" s="609">
        <v>2</v>
      </c>
      <c r="C10" s="609">
        <v>3</v>
      </c>
      <c r="D10" s="609">
        <v>4</v>
      </c>
      <c r="E10" s="609">
        <v>5</v>
      </c>
      <c r="F10" s="609">
        <v>6</v>
      </c>
      <c r="G10" s="609">
        <v>7</v>
      </c>
      <c r="H10" s="609">
        <v>8</v>
      </c>
      <c r="I10" s="609">
        <v>9</v>
      </c>
      <c r="J10" s="609">
        <v>10</v>
      </c>
      <c r="K10" s="609">
        <v>11</v>
      </c>
      <c r="L10" s="609">
        <v>12</v>
      </c>
      <c r="M10" s="609">
        <v>13</v>
      </c>
      <c r="N10" s="609">
        <v>14</v>
      </c>
      <c r="O10" s="609">
        <v>15</v>
      </c>
      <c r="P10" s="609">
        <v>16</v>
      </c>
      <c r="Q10" s="609">
        <v>17</v>
      </c>
      <c r="R10" s="609">
        <v>18</v>
      </c>
      <c r="S10" s="609">
        <v>19</v>
      </c>
      <c r="T10" s="609">
        <v>20</v>
      </c>
      <c r="U10" s="609">
        <v>21</v>
      </c>
      <c r="V10" s="609">
        <v>22</v>
      </c>
      <c r="W10" s="609">
        <v>23</v>
      </c>
      <c r="X10" s="609">
        <v>24</v>
      </c>
      <c r="Y10" s="609">
        <v>25</v>
      </c>
      <c r="Z10" s="609">
        <v>26</v>
      </c>
      <c r="AA10" s="609">
        <v>27</v>
      </c>
      <c r="AB10" s="609">
        <v>28</v>
      </c>
    </row>
    <row r="11" spans="1:28" s="614" customFormat="1" ht="60.75" customHeight="1">
      <c r="A11" s="611"/>
      <c r="B11" s="612" t="s">
        <v>27</v>
      </c>
      <c r="C11" s="612"/>
      <c r="D11" s="611"/>
      <c r="E11" s="613">
        <f>E12+E18+E22+E45+E53+E61+E46+E51</f>
        <v>12075085</v>
      </c>
      <c r="F11" s="613">
        <f>F12+F18+F22+F45+F53+F61+F46+F51</f>
        <v>2232813</v>
      </c>
      <c r="G11" s="613"/>
      <c r="H11" s="613">
        <f>H12+H18+H22+H45+H53+H61+H46+H51</f>
        <v>4000550</v>
      </c>
      <c r="I11" s="613">
        <f>I12+I18+I22+I45+I53+I61+I46+I51</f>
        <v>2176398</v>
      </c>
      <c r="J11" s="613"/>
      <c r="K11" s="613"/>
      <c r="L11" s="613">
        <f>L12+L18+L22+L45+L53+L61+L46+L51</f>
        <v>1080773</v>
      </c>
      <c r="M11" s="613">
        <f>M12+M18+M22+M45+M53+M61+M46+M51</f>
        <v>161960</v>
      </c>
      <c r="N11" s="613">
        <f>N12+N18+N22+N45+N53+N61+N46+N51</f>
        <v>24519</v>
      </c>
      <c r="O11" s="613">
        <f>O12+O18+O22+O45+O53+O61+O46+O51</f>
        <v>556900</v>
      </c>
      <c r="P11" s="613">
        <f t="shared" ref="P11:AA11" si="0">P12+P18+P22+P45+P53+P61+P46+P51</f>
        <v>1476817</v>
      </c>
      <c r="Q11" s="613">
        <f t="shared" si="0"/>
        <v>4763925</v>
      </c>
      <c r="R11" s="613">
        <f t="shared" si="0"/>
        <v>2176398</v>
      </c>
      <c r="S11" s="613"/>
      <c r="T11" s="613"/>
      <c r="U11" s="613">
        <f t="shared" si="0"/>
        <v>120000</v>
      </c>
      <c r="V11" s="613">
        <f t="shared" si="0"/>
        <v>1276771</v>
      </c>
      <c r="W11" s="613">
        <f t="shared" si="0"/>
        <v>77950</v>
      </c>
      <c r="X11" s="613">
        <f t="shared" si="0"/>
        <v>24519</v>
      </c>
      <c r="Y11" s="613">
        <f t="shared" si="0"/>
        <v>296000</v>
      </c>
      <c r="Z11" s="613">
        <f t="shared" si="0"/>
        <v>137000</v>
      </c>
      <c r="AA11" s="613">
        <f t="shared" si="0"/>
        <v>655287</v>
      </c>
      <c r="AB11" s="612"/>
    </row>
    <row r="12" spans="1:28" s="624" customFormat="1" ht="82.5" customHeight="1">
      <c r="A12" s="615" t="s">
        <v>86</v>
      </c>
      <c r="B12" s="616" t="s">
        <v>87</v>
      </c>
      <c r="C12" s="616"/>
      <c r="D12" s="617"/>
      <c r="E12" s="618"/>
      <c r="F12" s="619">
        <v>30000</v>
      </c>
      <c r="G12" s="618"/>
      <c r="H12" s="619">
        <f>I12+L12+M12+O12</f>
        <v>42351</v>
      </c>
      <c r="I12" s="619">
        <f>30000+14000+2500-3980+8838-7000-2007</f>
        <v>42351</v>
      </c>
      <c r="J12" s="618"/>
      <c r="K12" s="618"/>
      <c r="L12" s="620"/>
      <c r="M12" s="621"/>
      <c r="N12" s="621"/>
      <c r="O12" s="618"/>
      <c r="P12" s="622"/>
      <c r="Q12" s="619">
        <f>SUM(R12:AA12)</f>
        <v>58856</v>
      </c>
      <c r="R12" s="619">
        <f>42351-14519+25551-2000-10020+493+17000</f>
        <v>58856</v>
      </c>
      <c r="S12" s="618"/>
      <c r="T12" s="618"/>
      <c r="U12" s="618"/>
      <c r="V12" s="620"/>
      <c r="W12" s="621"/>
      <c r="X12" s="621"/>
      <c r="Y12" s="621"/>
      <c r="Z12" s="621"/>
      <c r="AA12" s="618"/>
      <c r="AB12" s="623" t="s">
        <v>1850</v>
      </c>
    </row>
    <row r="13" spans="1:28" s="624" customFormat="1" ht="60.75" hidden="1" customHeight="1">
      <c r="A13" s="608"/>
      <c r="B13" s="625" t="s">
        <v>75</v>
      </c>
      <c r="C13" s="626"/>
      <c r="D13" s="617"/>
      <c r="E13" s="618"/>
      <c r="F13" s="618"/>
      <c r="G13" s="618"/>
      <c r="H13" s="627"/>
      <c r="I13" s="627"/>
      <c r="J13" s="618"/>
      <c r="K13" s="618"/>
      <c r="L13" s="618"/>
      <c r="M13" s="628"/>
      <c r="N13" s="628"/>
      <c r="O13" s="618"/>
      <c r="P13" s="618"/>
      <c r="Q13" s="627"/>
      <c r="R13" s="627"/>
      <c r="S13" s="618"/>
      <c r="T13" s="618"/>
      <c r="U13" s="618"/>
      <c r="V13" s="618"/>
      <c r="W13" s="628"/>
      <c r="X13" s="628"/>
      <c r="Y13" s="628"/>
      <c r="Z13" s="628"/>
      <c r="AA13" s="618"/>
      <c r="AB13" s="617"/>
    </row>
    <row r="14" spans="1:28" s="624" customFormat="1" ht="72" hidden="1" customHeight="1">
      <c r="A14" s="608"/>
      <c r="B14" s="629" t="s">
        <v>1849</v>
      </c>
      <c r="C14" s="626"/>
      <c r="D14" s="617"/>
      <c r="E14" s="618"/>
      <c r="F14" s="618"/>
      <c r="G14" s="618"/>
      <c r="H14" s="630">
        <v>30000</v>
      </c>
      <c r="I14" s="630">
        <v>30000</v>
      </c>
      <c r="J14" s="618"/>
      <c r="K14" s="618"/>
      <c r="L14" s="618"/>
      <c r="M14" s="628"/>
      <c r="N14" s="628"/>
      <c r="O14" s="618"/>
      <c r="P14" s="618"/>
      <c r="Q14" s="630"/>
      <c r="R14" s="630"/>
      <c r="S14" s="618"/>
      <c r="T14" s="618"/>
      <c r="U14" s="618"/>
      <c r="V14" s="618"/>
      <c r="W14" s="628"/>
      <c r="X14" s="628"/>
      <c r="Y14" s="628"/>
      <c r="Z14" s="628"/>
      <c r="AA14" s="618"/>
      <c r="AB14" s="617"/>
    </row>
    <row r="15" spans="1:28" s="624" customFormat="1" ht="8.25" hidden="1" customHeight="1">
      <c r="A15" s="608"/>
      <c r="B15" s="629" t="s">
        <v>2158</v>
      </c>
      <c r="C15" s="626"/>
      <c r="D15" s="617"/>
      <c r="E15" s="618"/>
      <c r="F15" s="618"/>
      <c r="G15" s="618"/>
      <c r="H15" s="630">
        <v>300</v>
      </c>
      <c r="I15" s="630">
        <v>300</v>
      </c>
      <c r="J15" s="618"/>
      <c r="K15" s="618"/>
      <c r="L15" s="618"/>
      <c r="M15" s="628"/>
      <c r="N15" s="628"/>
      <c r="O15" s="618"/>
      <c r="P15" s="618"/>
      <c r="Q15" s="630"/>
      <c r="R15" s="630"/>
      <c r="S15" s="618"/>
      <c r="T15" s="618"/>
      <c r="U15" s="618"/>
      <c r="V15" s="618"/>
      <c r="W15" s="628"/>
      <c r="X15" s="628"/>
      <c r="Y15" s="628"/>
      <c r="Z15" s="628"/>
      <c r="AA15" s="618"/>
      <c r="AB15" s="617"/>
    </row>
    <row r="16" spans="1:28" s="604" customFormat="1" ht="55.5" hidden="1" customHeight="1">
      <c r="A16" s="609"/>
      <c r="B16" s="631" t="s">
        <v>1840</v>
      </c>
      <c r="C16" s="625"/>
      <c r="D16" s="632"/>
      <c r="E16" s="633"/>
      <c r="F16" s="633"/>
      <c r="G16" s="633"/>
      <c r="H16" s="630">
        <v>300</v>
      </c>
      <c r="I16" s="630">
        <v>300</v>
      </c>
      <c r="J16" s="633"/>
      <c r="K16" s="633"/>
      <c r="L16" s="633"/>
      <c r="M16" s="634"/>
      <c r="N16" s="634"/>
      <c r="O16" s="633"/>
      <c r="P16" s="633"/>
      <c r="Q16" s="630"/>
      <c r="R16" s="630"/>
      <c r="S16" s="633"/>
      <c r="T16" s="633"/>
      <c r="U16" s="633"/>
      <c r="V16" s="633"/>
      <c r="W16" s="634"/>
      <c r="X16" s="634"/>
      <c r="Y16" s="634"/>
      <c r="Z16" s="634"/>
      <c r="AA16" s="633"/>
      <c r="AB16" s="632"/>
    </row>
    <row r="17" spans="1:28" s="604" customFormat="1" ht="55.5" hidden="1" customHeight="1">
      <c r="A17" s="609"/>
      <c r="B17" s="635" t="s">
        <v>1175</v>
      </c>
      <c r="C17" s="625"/>
      <c r="D17" s="632"/>
      <c r="E17" s="633"/>
      <c r="F17" s="633"/>
      <c r="G17" s="633"/>
      <c r="H17" s="630">
        <v>300</v>
      </c>
      <c r="I17" s="630">
        <v>300</v>
      </c>
      <c r="J17" s="633"/>
      <c r="K17" s="633"/>
      <c r="L17" s="633"/>
      <c r="M17" s="634"/>
      <c r="N17" s="634"/>
      <c r="O17" s="633"/>
      <c r="P17" s="633"/>
      <c r="Q17" s="630"/>
      <c r="R17" s="630"/>
      <c r="S17" s="633"/>
      <c r="T17" s="633"/>
      <c r="U17" s="633"/>
      <c r="V17" s="633"/>
      <c r="W17" s="634"/>
      <c r="X17" s="634"/>
      <c r="Y17" s="634"/>
      <c r="Z17" s="634"/>
      <c r="AA17" s="633"/>
      <c r="AB17" s="632"/>
    </row>
    <row r="18" spans="1:28" s="624" customFormat="1" ht="55.5" customHeight="1">
      <c r="A18" s="615" t="s">
        <v>88</v>
      </c>
      <c r="B18" s="636" t="s">
        <v>1851</v>
      </c>
      <c r="C18" s="636"/>
      <c r="D18" s="617"/>
      <c r="E18" s="619">
        <f>SUM(E19:E21)</f>
        <v>673632</v>
      </c>
      <c r="F18" s="619">
        <f t="shared" ref="F18" si="1">SUM(F19:F21)</f>
        <v>270000</v>
      </c>
      <c r="G18" s="619"/>
      <c r="H18" s="619">
        <f>I18+L18+M18+O18</f>
        <v>270000</v>
      </c>
      <c r="I18" s="619">
        <f>I19+I20+I21</f>
        <v>270000</v>
      </c>
      <c r="J18" s="619"/>
      <c r="K18" s="619"/>
      <c r="L18" s="619"/>
      <c r="M18" s="619"/>
      <c r="N18" s="619"/>
      <c r="O18" s="619"/>
      <c r="P18" s="619"/>
      <c r="Q18" s="619">
        <f t="shared" ref="Q18:R18" si="2">Q19+Q20+Q21</f>
        <v>270000</v>
      </c>
      <c r="R18" s="619">
        <f t="shared" si="2"/>
        <v>270000</v>
      </c>
      <c r="S18" s="619"/>
      <c r="T18" s="619"/>
      <c r="U18" s="619"/>
      <c r="V18" s="619"/>
      <c r="W18" s="619"/>
      <c r="X18" s="619"/>
      <c r="Y18" s="619"/>
      <c r="Z18" s="619"/>
      <c r="AA18" s="619"/>
      <c r="AB18" s="608"/>
    </row>
    <row r="19" spans="1:28" ht="72.75" customHeight="1">
      <c r="A19" s="476">
        <v>1</v>
      </c>
      <c r="B19" s="637" t="s">
        <v>1910</v>
      </c>
      <c r="C19" s="638" t="s">
        <v>88</v>
      </c>
      <c r="D19" s="470" t="s">
        <v>1911</v>
      </c>
      <c r="E19" s="639">
        <v>450632</v>
      </c>
      <c r="F19" s="475">
        <v>140000</v>
      </c>
      <c r="G19" s="640"/>
      <c r="H19" s="475">
        <v>140000</v>
      </c>
      <c r="I19" s="475">
        <v>140000</v>
      </c>
      <c r="J19" s="640"/>
      <c r="K19" s="640"/>
      <c r="L19" s="640"/>
      <c r="M19" s="640"/>
      <c r="N19" s="640"/>
      <c r="O19" s="640"/>
      <c r="P19" s="639"/>
      <c r="Q19" s="475">
        <f>SUM(R19:AA19)</f>
        <v>140000</v>
      </c>
      <c r="R19" s="475">
        <f>I19</f>
        <v>140000</v>
      </c>
      <c r="S19" s="640"/>
      <c r="T19" s="640"/>
      <c r="U19" s="640"/>
      <c r="V19" s="640"/>
      <c r="W19" s="640"/>
      <c r="X19" s="640"/>
      <c r="Y19" s="640"/>
      <c r="Z19" s="640"/>
      <c r="AA19" s="640"/>
      <c r="AB19" s="615"/>
    </row>
    <row r="20" spans="1:28" ht="62.25" customHeight="1">
      <c r="A20" s="476">
        <v>2</v>
      </c>
      <c r="B20" s="471" t="s">
        <v>1909</v>
      </c>
      <c r="C20" s="638" t="s">
        <v>88</v>
      </c>
      <c r="D20" s="641" t="s">
        <v>1912</v>
      </c>
      <c r="E20" s="639">
        <v>60000</v>
      </c>
      <c r="F20" s="475">
        <v>60000</v>
      </c>
      <c r="G20" s="640"/>
      <c r="H20" s="475">
        <v>60000</v>
      </c>
      <c r="I20" s="475">
        <v>60000</v>
      </c>
      <c r="J20" s="640"/>
      <c r="K20" s="640"/>
      <c r="L20" s="640"/>
      <c r="M20" s="640"/>
      <c r="N20" s="640"/>
      <c r="O20" s="640"/>
      <c r="P20" s="640"/>
      <c r="Q20" s="475">
        <f t="shared" ref="Q20:Q21" si="3">SUM(R20:AA20)</f>
        <v>60000</v>
      </c>
      <c r="R20" s="475">
        <f t="shared" ref="R20:R21" si="4">I20</f>
        <v>60000</v>
      </c>
      <c r="S20" s="640"/>
      <c r="T20" s="640"/>
      <c r="U20" s="640"/>
      <c r="V20" s="640"/>
      <c r="W20" s="640"/>
      <c r="X20" s="640"/>
      <c r="Y20" s="640"/>
      <c r="Z20" s="640"/>
      <c r="AA20" s="640"/>
      <c r="AB20" s="615"/>
    </row>
    <row r="21" spans="1:28" ht="62.25" customHeight="1">
      <c r="A21" s="642" t="s">
        <v>32</v>
      </c>
      <c r="B21" s="643" t="s">
        <v>104</v>
      </c>
      <c r="C21" s="638" t="s">
        <v>88</v>
      </c>
      <c r="D21" s="641" t="s">
        <v>105</v>
      </c>
      <c r="E21" s="644">
        <v>163000</v>
      </c>
      <c r="F21" s="644">
        <v>70000</v>
      </c>
      <c r="G21" s="644"/>
      <c r="H21" s="475">
        <f>I21+L21+M21+O21</f>
        <v>70000</v>
      </c>
      <c r="I21" s="475">
        <v>70000</v>
      </c>
      <c r="J21" s="640"/>
      <c r="K21" s="640"/>
      <c r="L21" s="640"/>
      <c r="M21" s="644"/>
      <c r="N21" s="644"/>
      <c r="O21" s="640"/>
      <c r="P21" s="475"/>
      <c r="Q21" s="475">
        <f t="shared" si="3"/>
        <v>70000</v>
      </c>
      <c r="R21" s="475">
        <f t="shared" si="4"/>
        <v>70000</v>
      </c>
      <c r="S21" s="640"/>
      <c r="T21" s="640"/>
      <c r="U21" s="640"/>
      <c r="V21" s="640"/>
      <c r="W21" s="644"/>
      <c r="X21" s="644"/>
      <c r="Y21" s="644"/>
      <c r="Z21" s="644"/>
      <c r="AA21" s="640"/>
      <c r="AB21" s="645" t="s">
        <v>1879</v>
      </c>
    </row>
    <row r="22" spans="1:28" s="624" customFormat="1" ht="102" customHeight="1">
      <c r="A22" s="615" t="s">
        <v>89</v>
      </c>
      <c r="B22" s="636" t="s">
        <v>1852</v>
      </c>
      <c r="C22" s="636"/>
      <c r="D22" s="617"/>
      <c r="E22" s="619">
        <f>E23+E31+E32</f>
        <v>79225</v>
      </c>
      <c r="F22" s="619">
        <f t="shared" ref="F22:R22" si="5">F23+F31+F32</f>
        <v>73645</v>
      </c>
      <c r="G22" s="619"/>
      <c r="H22" s="619">
        <f t="shared" si="5"/>
        <v>73645</v>
      </c>
      <c r="I22" s="619">
        <f t="shared" si="5"/>
        <v>73645</v>
      </c>
      <c r="J22" s="619"/>
      <c r="K22" s="619"/>
      <c r="L22" s="619"/>
      <c r="M22" s="619"/>
      <c r="N22" s="619"/>
      <c r="O22" s="619"/>
      <c r="P22" s="619"/>
      <c r="Q22" s="619">
        <f t="shared" si="5"/>
        <v>86623</v>
      </c>
      <c r="R22" s="619">
        <f t="shared" si="5"/>
        <v>86623</v>
      </c>
      <c r="S22" s="619"/>
      <c r="T22" s="619"/>
      <c r="U22" s="619"/>
      <c r="V22" s="619"/>
      <c r="W22" s="619"/>
      <c r="X22" s="619"/>
      <c r="Y22" s="619"/>
      <c r="Z22" s="619"/>
      <c r="AA22" s="619"/>
      <c r="AB22" s="608"/>
    </row>
    <row r="23" spans="1:28" s="606" customFormat="1" ht="80.25" customHeight="1">
      <c r="A23" s="484">
        <v>1</v>
      </c>
      <c r="B23" s="637" t="s">
        <v>950</v>
      </c>
      <c r="C23" s="637"/>
      <c r="D23" s="623"/>
      <c r="E23" s="475">
        <f>F23</f>
        <v>17940</v>
      </c>
      <c r="F23" s="475">
        <v>17940</v>
      </c>
      <c r="G23" s="620"/>
      <c r="H23" s="475">
        <f>I23</f>
        <v>17940</v>
      </c>
      <c r="I23" s="475">
        <f>SUM(I24:I30)</f>
        <v>17940</v>
      </c>
      <c r="J23" s="475"/>
      <c r="K23" s="475"/>
      <c r="L23" s="475"/>
      <c r="M23" s="475"/>
      <c r="N23" s="475"/>
      <c r="O23" s="475"/>
      <c r="P23" s="475"/>
      <c r="Q23" s="475">
        <f t="shared" ref="Q23:R23" si="6">SUM(Q24:Q30)</f>
        <v>17940</v>
      </c>
      <c r="R23" s="475">
        <f t="shared" si="6"/>
        <v>17940</v>
      </c>
      <c r="S23" s="620"/>
      <c r="T23" s="620"/>
      <c r="U23" s="620"/>
      <c r="V23" s="620"/>
      <c r="W23" s="620"/>
      <c r="X23" s="620"/>
      <c r="Y23" s="620"/>
      <c r="Z23" s="620"/>
      <c r="AA23" s="620"/>
      <c r="AB23" s="623"/>
    </row>
    <row r="24" spans="1:28" ht="90" customHeight="1">
      <c r="A24" s="484"/>
      <c r="B24" s="629" t="s">
        <v>968</v>
      </c>
      <c r="C24" s="637"/>
      <c r="D24" s="470"/>
      <c r="E24" s="639"/>
      <c r="F24" s="639"/>
      <c r="G24" s="639"/>
      <c r="H24" s="646">
        <f t="shared" ref="H24:H31" si="7">I24+L24+M24+O24</f>
        <v>100</v>
      </c>
      <c r="I24" s="646">
        <v>100</v>
      </c>
      <c r="J24" s="640"/>
      <c r="K24" s="640"/>
      <c r="L24" s="640"/>
      <c r="M24" s="640"/>
      <c r="N24" s="640"/>
      <c r="O24" s="640"/>
      <c r="P24" s="646"/>
      <c r="Q24" s="646">
        <f>SUM(R24:AA24)</f>
        <v>100</v>
      </c>
      <c r="R24" s="646">
        <f>I24</f>
        <v>100</v>
      </c>
      <c r="S24" s="640"/>
      <c r="T24" s="640"/>
      <c r="U24" s="640"/>
      <c r="V24" s="640"/>
      <c r="W24" s="640"/>
      <c r="X24" s="640"/>
      <c r="Y24" s="640"/>
      <c r="Z24" s="640"/>
      <c r="AA24" s="640"/>
      <c r="AB24" s="623" t="s">
        <v>1853</v>
      </c>
    </row>
    <row r="25" spans="1:28" ht="80.25" customHeight="1">
      <c r="A25" s="484"/>
      <c r="B25" s="629" t="s">
        <v>969</v>
      </c>
      <c r="C25" s="637"/>
      <c r="D25" s="470"/>
      <c r="E25" s="639"/>
      <c r="F25" s="639"/>
      <c r="G25" s="639"/>
      <c r="H25" s="646">
        <f t="shared" si="7"/>
        <v>765</v>
      </c>
      <c r="I25" s="646">
        <v>765</v>
      </c>
      <c r="J25" s="640"/>
      <c r="K25" s="640"/>
      <c r="L25" s="640"/>
      <c r="M25" s="640"/>
      <c r="N25" s="640"/>
      <c r="O25" s="640"/>
      <c r="P25" s="646"/>
      <c r="Q25" s="646">
        <f>SUM(R25:AA25)</f>
        <v>765</v>
      </c>
      <c r="R25" s="646">
        <f>I25</f>
        <v>765</v>
      </c>
      <c r="S25" s="640"/>
      <c r="T25" s="640"/>
      <c r="U25" s="640"/>
      <c r="V25" s="640"/>
      <c r="W25" s="640"/>
      <c r="X25" s="640"/>
      <c r="Y25" s="640"/>
      <c r="Z25" s="640"/>
      <c r="AA25" s="640"/>
      <c r="AB25" s="623" t="s">
        <v>1853</v>
      </c>
    </row>
    <row r="26" spans="1:28" ht="80.25" customHeight="1">
      <c r="A26" s="484"/>
      <c r="B26" s="629" t="s">
        <v>970</v>
      </c>
      <c r="C26" s="637"/>
      <c r="D26" s="470"/>
      <c r="E26" s="639"/>
      <c r="F26" s="639"/>
      <c r="G26" s="639"/>
      <c r="H26" s="646">
        <f t="shared" si="7"/>
        <v>99</v>
      </c>
      <c r="I26" s="646">
        <v>99</v>
      </c>
      <c r="J26" s="640"/>
      <c r="K26" s="640"/>
      <c r="L26" s="640"/>
      <c r="M26" s="640"/>
      <c r="N26" s="640"/>
      <c r="O26" s="640"/>
      <c r="P26" s="646"/>
      <c r="Q26" s="646">
        <f t="shared" ref="Q26:Q30" si="8">SUM(R26:AA26)</f>
        <v>99</v>
      </c>
      <c r="R26" s="646">
        <f t="shared" ref="R26:R30" si="9">I26</f>
        <v>99</v>
      </c>
      <c r="S26" s="640"/>
      <c r="T26" s="640"/>
      <c r="U26" s="640"/>
      <c r="V26" s="640"/>
      <c r="W26" s="640"/>
      <c r="X26" s="640"/>
      <c r="Y26" s="640"/>
      <c r="Z26" s="640"/>
      <c r="AA26" s="640"/>
      <c r="AB26" s="623" t="s">
        <v>1853</v>
      </c>
    </row>
    <row r="27" spans="1:28" ht="96.75" customHeight="1">
      <c r="A27" s="484"/>
      <c r="B27" s="629" t="s">
        <v>971</v>
      </c>
      <c r="C27" s="637"/>
      <c r="D27" s="470"/>
      <c r="E27" s="639"/>
      <c r="F27" s="639"/>
      <c r="G27" s="639"/>
      <c r="H27" s="646">
        <f t="shared" si="7"/>
        <v>155</v>
      </c>
      <c r="I27" s="646">
        <v>155</v>
      </c>
      <c r="J27" s="640"/>
      <c r="K27" s="640"/>
      <c r="L27" s="640"/>
      <c r="M27" s="640"/>
      <c r="N27" s="640"/>
      <c r="O27" s="640"/>
      <c r="P27" s="646"/>
      <c r="Q27" s="646">
        <f t="shared" si="8"/>
        <v>155</v>
      </c>
      <c r="R27" s="646">
        <f t="shared" si="9"/>
        <v>155</v>
      </c>
      <c r="S27" s="640"/>
      <c r="T27" s="640"/>
      <c r="U27" s="640"/>
      <c r="V27" s="640"/>
      <c r="W27" s="640"/>
      <c r="X27" s="640"/>
      <c r="Y27" s="640"/>
      <c r="Z27" s="640"/>
      <c r="AA27" s="640"/>
      <c r="AB27" s="623" t="s">
        <v>1853</v>
      </c>
    </row>
    <row r="28" spans="1:28" ht="80.25" customHeight="1">
      <c r="A28" s="484"/>
      <c r="B28" s="629" t="s">
        <v>972</v>
      </c>
      <c r="C28" s="637"/>
      <c r="D28" s="470"/>
      <c r="E28" s="639"/>
      <c r="F28" s="639"/>
      <c r="G28" s="639"/>
      <c r="H28" s="646">
        <f t="shared" si="7"/>
        <v>747</v>
      </c>
      <c r="I28" s="646">
        <v>747</v>
      </c>
      <c r="J28" s="640"/>
      <c r="K28" s="640"/>
      <c r="L28" s="640"/>
      <c r="M28" s="640"/>
      <c r="N28" s="640"/>
      <c r="O28" s="640"/>
      <c r="P28" s="646"/>
      <c r="Q28" s="646">
        <f t="shared" si="8"/>
        <v>747</v>
      </c>
      <c r="R28" s="646">
        <f t="shared" si="9"/>
        <v>747</v>
      </c>
      <c r="S28" s="640"/>
      <c r="T28" s="640"/>
      <c r="U28" s="640"/>
      <c r="V28" s="640"/>
      <c r="W28" s="640"/>
      <c r="X28" s="640"/>
      <c r="Y28" s="640"/>
      <c r="Z28" s="640"/>
      <c r="AA28" s="640"/>
      <c r="AB28" s="623" t="s">
        <v>1853</v>
      </c>
    </row>
    <row r="29" spans="1:28" ht="80.25" customHeight="1">
      <c r="A29" s="484"/>
      <c r="B29" s="629" t="s">
        <v>973</v>
      </c>
      <c r="C29" s="637"/>
      <c r="D29" s="470"/>
      <c r="E29" s="639"/>
      <c r="F29" s="639"/>
      <c r="G29" s="639"/>
      <c r="H29" s="646">
        <f t="shared" si="7"/>
        <v>1074</v>
      </c>
      <c r="I29" s="646">
        <v>1074</v>
      </c>
      <c r="J29" s="640"/>
      <c r="K29" s="640"/>
      <c r="L29" s="640"/>
      <c r="M29" s="640"/>
      <c r="N29" s="640"/>
      <c r="O29" s="640"/>
      <c r="P29" s="646"/>
      <c r="Q29" s="646">
        <f t="shared" si="8"/>
        <v>1074</v>
      </c>
      <c r="R29" s="646">
        <f t="shared" si="9"/>
        <v>1074</v>
      </c>
      <c r="S29" s="640"/>
      <c r="T29" s="640"/>
      <c r="U29" s="640"/>
      <c r="V29" s="640"/>
      <c r="W29" s="640"/>
      <c r="X29" s="640"/>
      <c r="Y29" s="640"/>
      <c r="Z29" s="640"/>
      <c r="AA29" s="640"/>
      <c r="AB29" s="623" t="s">
        <v>1853</v>
      </c>
    </row>
    <row r="30" spans="1:28" ht="82.5" customHeight="1">
      <c r="A30" s="484"/>
      <c r="B30" s="629" t="s">
        <v>974</v>
      </c>
      <c r="C30" s="637"/>
      <c r="D30" s="470"/>
      <c r="E30" s="639"/>
      <c r="F30" s="639"/>
      <c r="G30" s="639"/>
      <c r="H30" s="646">
        <f t="shared" si="7"/>
        <v>15000</v>
      </c>
      <c r="I30" s="646">
        <v>15000</v>
      </c>
      <c r="J30" s="640"/>
      <c r="K30" s="640"/>
      <c r="L30" s="640"/>
      <c r="M30" s="640"/>
      <c r="N30" s="640"/>
      <c r="O30" s="640"/>
      <c r="P30" s="646"/>
      <c r="Q30" s="646">
        <f t="shared" si="8"/>
        <v>15000</v>
      </c>
      <c r="R30" s="646">
        <f t="shared" si="9"/>
        <v>15000</v>
      </c>
      <c r="S30" s="640"/>
      <c r="T30" s="640"/>
      <c r="U30" s="640"/>
      <c r="V30" s="640"/>
      <c r="W30" s="640"/>
      <c r="X30" s="640"/>
      <c r="Y30" s="640"/>
      <c r="Z30" s="640"/>
      <c r="AA30" s="640"/>
      <c r="AB30" s="623"/>
    </row>
    <row r="31" spans="1:28" ht="80.25" customHeight="1">
      <c r="A31" s="484">
        <v>2</v>
      </c>
      <c r="B31" s="637" t="s">
        <v>90</v>
      </c>
      <c r="C31" s="637"/>
      <c r="D31" s="470"/>
      <c r="E31" s="639">
        <v>61285</v>
      </c>
      <c r="F31" s="639">
        <v>55705</v>
      </c>
      <c r="G31" s="639"/>
      <c r="H31" s="639">
        <f t="shared" si="7"/>
        <v>55705</v>
      </c>
      <c r="I31" s="639">
        <f>55000+705</f>
        <v>55705</v>
      </c>
      <c r="J31" s="640"/>
      <c r="K31" s="640"/>
      <c r="L31" s="640"/>
      <c r="M31" s="640"/>
      <c r="N31" s="640"/>
      <c r="O31" s="640"/>
      <c r="P31" s="639"/>
      <c r="Q31" s="639">
        <f>SUM(R31:AA31)</f>
        <v>45491</v>
      </c>
      <c r="R31" s="647">
        <f>21300+10950+10151+3090</f>
        <v>45491</v>
      </c>
      <c r="S31" s="640"/>
      <c r="T31" s="640"/>
      <c r="U31" s="640"/>
      <c r="V31" s="640"/>
      <c r="W31" s="640"/>
      <c r="X31" s="640"/>
      <c r="Y31" s="640"/>
      <c r="Z31" s="640"/>
      <c r="AA31" s="640"/>
      <c r="AB31" s="623"/>
    </row>
    <row r="32" spans="1:28" ht="80.25" customHeight="1">
      <c r="A32" s="484">
        <v>3</v>
      </c>
      <c r="B32" s="637" t="s">
        <v>2276</v>
      </c>
      <c r="C32" s="637"/>
      <c r="D32" s="470"/>
      <c r="E32" s="639"/>
      <c r="F32" s="639"/>
      <c r="G32" s="639"/>
      <c r="H32" s="639"/>
      <c r="I32" s="639"/>
      <c r="J32" s="640"/>
      <c r="K32" s="640"/>
      <c r="L32" s="640"/>
      <c r="M32" s="640"/>
      <c r="N32" s="640"/>
      <c r="O32" s="640"/>
      <c r="P32" s="639"/>
      <c r="Q32" s="639">
        <f>SUM(Q33:Q44)</f>
        <v>23192</v>
      </c>
      <c r="R32" s="647">
        <f>SUM(R33:R44)</f>
        <v>23192</v>
      </c>
      <c r="S32" s="640"/>
      <c r="T32" s="640"/>
      <c r="U32" s="640"/>
      <c r="V32" s="640"/>
      <c r="W32" s="640"/>
      <c r="X32" s="640"/>
      <c r="Y32" s="640"/>
      <c r="Z32" s="640"/>
      <c r="AA32" s="640"/>
      <c r="AB32" s="470" t="s">
        <v>2304</v>
      </c>
    </row>
    <row r="33" spans="1:28" ht="80.25" customHeight="1">
      <c r="A33" s="484"/>
      <c r="B33" s="648" t="s">
        <v>2277</v>
      </c>
      <c r="C33" s="637"/>
      <c r="D33" s="470"/>
      <c r="E33" s="639"/>
      <c r="F33" s="639"/>
      <c r="G33" s="639"/>
      <c r="H33" s="639"/>
      <c r="I33" s="639"/>
      <c r="J33" s="640"/>
      <c r="K33" s="640"/>
      <c r="L33" s="640"/>
      <c r="M33" s="640"/>
      <c r="N33" s="640"/>
      <c r="O33" s="640"/>
      <c r="P33" s="639"/>
      <c r="Q33" s="646">
        <f>SUM(R33:AA33)</f>
        <v>2075</v>
      </c>
      <c r="R33" s="649">
        <v>2075</v>
      </c>
      <c r="S33" s="650"/>
      <c r="T33" s="640"/>
      <c r="U33" s="640"/>
      <c r="V33" s="640"/>
      <c r="W33" s="640"/>
      <c r="X33" s="640"/>
      <c r="Y33" s="640"/>
      <c r="Z33" s="640"/>
      <c r="AA33" s="640"/>
      <c r="AB33" s="623"/>
    </row>
    <row r="34" spans="1:28" ht="80.25" customHeight="1">
      <c r="A34" s="484"/>
      <c r="B34" s="648" t="s">
        <v>2278</v>
      </c>
      <c r="C34" s="637"/>
      <c r="D34" s="470"/>
      <c r="E34" s="639"/>
      <c r="F34" s="639"/>
      <c r="G34" s="639"/>
      <c r="H34" s="639"/>
      <c r="I34" s="639"/>
      <c r="J34" s="640"/>
      <c r="K34" s="640"/>
      <c r="L34" s="640"/>
      <c r="M34" s="640"/>
      <c r="N34" s="640"/>
      <c r="O34" s="640"/>
      <c r="P34" s="639"/>
      <c r="Q34" s="646">
        <f t="shared" ref="Q34:Q44" si="10">SUM(R34:AA34)</f>
        <v>1420</v>
      </c>
      <c r="R34" s="651">
        <v>1420</v>
      </c>
      <c r="S34" s="650"/>
      <c r="T34" s="640"/>
      <c r="U34" s="640"/>
      <c r="V34" s="640"/>
      <c r="W34" s="640"/>
      <c r="X34" s="640"/>
      <c r="Y34" s="640"/>
      <c r="Z34" s="640"/>
      <c r="AA34" s="640"/>
      <c r="AB34" s="623"/>
    </row>
    <row r="35" spans="1:28" ht="80.25" customHeight="1">
      <c r="A35" s="484"/>
      <c r="B35" s="648" t="s">
        <v>2279</v>
      </c>
      <c r="C35" s="637"/>
      <c r="D35" s="470"/>
      <c r="E35" s="639"/>
      <c r="F35" s="639"/>
      <c r="G35" s="639"/>
      <c r="H35" s="639"/>
      <c r="I35" s="639"/>
      <c r="J35" s="640"/>
      <c r="K35" s="640"/>
      <c r="L35" s="640"/>
      <c r="M35" s="640"/>
      <c r="N35" s="640"/>
      <c r="O35" s="640"/>
      <c r="P35" s="639"/>
      <c r="Q35" s="646">
        <f t="shared" si="10"/>
        <v>3324</v>
      </c>
      <c r="R35" s="651">
        <v>3324</v>
      </c>
      <c r="S35" s="650"/>
      <c r="T35" s="640"/>
      <c r="U35" s="640"/>
      <c r="V35" s="640"/>
      <c r="W35" s="640"/>
      <c r="X35" s="640"/>
      <c r="Y35" s="640"/>
      <c r="Z35" s="640"/>
      <c r="AA35" s="640"/>
      <c r="AB35" s="623"/>
    </row>
    <row r="36" spans="1:28" ht="80.25" customHeight="1">
      <c r="A36" s="484"/>
      <c r="B36" s="648" t="s">
        <v>2280</v>
      </c>
      <c r="C36" s="637"/>
      <c r="D36" s="470"/>
      <c r="E36" s="639"/>
      <c r="F36" s="639"/>
      <c r="G36" s="639"/>
      <c r="H36" s="639"/>
      <c r="I36" s="639"/>
      <c r="J36" s="640"/>
      <c r="K36" s="640"/>
      <c r="L36" s="640"/>
      <c r="M36" s="640"/>
      <c r="N36" s="640"/>
      <c r="O36" s="640"/>
      <c r="P36" s="639"/>
      <c r="Q36" s="646">
        <f t="shared" si="10"/>
        <v>3420</v>
      </c>
      <c r="R36" s="651">
        <v>3420</v>
      </c>
      <c r="S36" s="650"/>
      <c r="T36" s="640"/>
      <c r="U36" s="640"/>
      <c r="V36" s="640"/>
      <c r="W36" s="640"/>
      <c r="X36" s="640"/>
      <c r="Y36" s="640"/>
      <c r="Z36" s="640"/>
      <c r="AA36" s="640"/>
      <c r="AB36" s="623"/>
    </row>
    <row r="37" spans="1:28" ht="80.25" customHeight="1">
      <c r="A37" s="484"/>
      <c r="B37" s="648" t="s">
        <v>2281</v>
      </c>
      <c r="C37" s="637"/>
      <c r="D37" s="470"/>
      <c r="E37" s="639"/>
      <c r="F37" s="639"/>
      <c r="G37" s="639"/>
      <c r="H37" s="639"/>
      <c r="I37" s="639"/>
      <c r="J37" s="640"/>
      <c r="K37" s="640"/>
      <c r="L37" s="640"/>
      <c r="M37" s="640"/>
      <c r="N37" s="640"/>
      <c r="O37" s="640"/>
      <c r="P37" s="639"/>
      <c r="Q37" s="646">
        <f t="shared" si="10"/>
        <v>1253</v>
      </c>
      <c r="R37" s="646">
        <v>1253</v>
      </c>
      <c r="S37" s="640"/>
      <c r="T37" s="640"/>
      <c r="U37" s="640"/>
      <c r="V37" s="640"/>
      <c r="W37" s="640"/>
      <c r="X37" s="640"/>
      <c r="Y37" s="640"/>
      <c r="Z37" s="640"/>
      <c r="AA37" s="640"/>
      <c r="AB37" s="623"/>
    </row>
    <row r="38" spans="1:28" ht="80.25" customHeight="1">
      <c r="A38" s="484"/>
      <c r="B38" s="652" t="s">
        <v>2282</v>
      </c>
      <c r="C38" s="637"/>
      <c r="D38" s="470"/>
      <c r="E38" s="639"/>
      <c r="F38" s="639"/>
      <c r="G38" s="639"/>
      <c r="H38" s="639"/>
      <c r="I38" s="639"/>
      <c r="J38" s="640"/>
      <c r="K38" s="640"/>
      <c r="L38" s="640"/>
      <c r="M38" s="640"/>
      <c r="N38" s="640"/>
      <c r="O38" s="640"/>
      <c r="P38" s="639"/>
      <c r="Q38" s="646">
        <f t="shared" si="10"/>
        <v>3000</v>
      </c>
      <c r="R38" s="646">
        <v>3000</v>
      </c>
      <c r="S38" s="640"/>
      <c r="T38" s="640"/>
      <c r="U38" s="640"/>
      <c r="V38" s="640"/>
      <c r="W38" s="640"/>
      <c r="X38" s="640"/>
      <c r="Y38" s="640"/>
      <c r="Z38" s="640"/>
      <c r="AA38" s="640"/>
      <c r="AB38" s="623"/>
    </row>
    <row r="39" spans="1:28" ht="80.25" customHeight="1">
      <c r="A39" s="484"/>
      <c r="B39" s="652" t="s">
        <v>2283</v>
      </c>
      <c r="C39" s="637"/>
      <c r="D39" s="470"/>
      <c r="E39" s="639"/>
      <c r="F39" s="639"/>
      <c r="G39" s="639"/>
      <c r="H39" s="639"/>
      <c r="I39" s="639"/>
      <c r="J39" s="640"/>
      <c r="K39" s="640"/>
      <c r="L39" s="640"/>
      <c r="M39" s="640"/>
      <c r="N39" s="640"/>
      <c r="O39" s="640"/>
      <c r="P39" s="639"/>
      <c r="Q39" s="646">
        <f t="shared" si="10"/>
        <v>4000</v>
      </c>
      <c r="R39" s="646">
        <v>4000</v>
      </c>
      <c r="S39" s="640"/>
      <c r="T39" s="640"/>
      <c r="U39" s="640"/>
      <c r="V39" s="640"/>
      <c r="W39" s="640"/>
      <c r="X39" s="640"/>
      <c r="Y39" s="640"/>
      <c r="Z39" s="640"/>
      <c r="AA39" s="640"/>
      <c r="AB39" s="623"/>
    </row>
    <row r="40" spans="1:28" ht="80.25" customHeight="1">
      <c r="A40" s="484"/>
      <c r="B40" s="652" t="s">
        <v>2284</v>
      </c>
      <c r="C40" s="637"/>
      <c r="D40" s="470"/>
      <c r="E40" s="639"/>
      <c r="F40" s="639"/>
      <c r="G40" s="639"/>
      <c r="H40" s="639"/>
      <c r="I40" s="639"/>
      <c r="J40" s="640"/>
      <c r="K40" s="640"/>
      <c r="L40" s="640"/>
      <c r="M40" s="640"/>
      <c r="N40" s="640"/>
      <c r="O40" s="640"/>
      <c r="P40" s="639"/>
      <c r="Q40" s="646">
        <f t="shared" si="10"/>
        <v>1500</v>
      </c>
      <c r="R40" s="646">
        <v>1500</v>
      </c>
      <c r="S40" s="640"/>
      <c r="T40" s="640"/>
      <c r="U40" s="640"/>
      <c r="V40" s="640"/>
      <c r="W40" s="640"/>
      <c r="X40" s="640"/>
      <c r="Y40" s="640"/>
      <c r="Z40" s="640"/>
      <c r="AA40" s="640"/>
      <c r="AB40" s="623"/>
    </row>
    <row r="41" spans="1:28" ht="80.25" customHeight="1">
      <c r="A41" s="484"/>
      <c r="B41" s="652" t="s">
        <v>2285</v>
      </c>
      <c r="C41" s="637"/>
      <c r="D41" s="470"/>
      <c r="E41" s="639"/>
      <c r="F41" s="639"/>
      <c r="G41" s="639"/>
      <c r="H41" s="639"/>
      <c r="I41" s="639"/>
      <c r="J41" s="640"/>
      <c r="K41" s="640"/>
      <c r="L41" s="640"/>
      <c r="M41" s="640"/>
      <c r="N41" s="640"/>
      <c r="O41" s="640"/>
      <c r="P41" s="639"/>
      <c r="Q41" s="646">
        <f t="shared" si="10"/>
        <v>1500</v>
      </c>
      <c r="R41" s="646">
        <v>1500</v>
      </c>
      <c r="S41" s="640"/>
      <c r="T41" s="640"/>
      <c r="U41" s="640"/>
      <c r="V41" s="640"/>
      <c r="W41" s="640"/>
      <c r="X41" s="640"/>
      <c r="Y41" s="640"/>
      <c r="Z41" s="640"/>
      <c r="AA41" s="640"/>
      <c r="AB41" s="623"/>
    </row>
    <row r="42" spans="1:28" ht="80.25" customHeight="1">
      <c r="A42" s="484"/>
      <c r="B42" s="652" t="s">
        <v>2286</v>
      </c>
      <c r="C42" s="637"/>
      <c r="D42" s="470"/>
      <c r="E42" s="639"/>
      <c r="F42" s="639"/>
      <c r="G42" s="639"/>
      <c r="H42" s="639"/>
      <c r="I42" s="639"/>
      <c r="J42" s="640"/>
      <c r="K42" s="640"/>
      <c r="L42" s="640"/>
      <c r="M42" s="640"/>
      <c r="N42" s="640"/>
      <c r="O42" s="640"/>
      <c r="P42" s="639"/>
      <c r="Q42" s="646">
        <f t="shared" si="10"/>
        <v>500</v>
      </c>
      <c r="R42" s="646">
        <v>500</v>
      </c>
      <c r="S42" s="640"/>
      <c r="T42" s="640"/>
      <c r="U42" s="640"/>
      <c r="V42" s="640"/>
      <c r="W42" s="640"/>
      <c r="X42" s="640"/>
      <c r="Y42" s="640"/>
      <c r="Z42" s="640"/>
      <c r="AA42" s="640"/>
      <c r="AB42" s="623"/>
    </row>
    <row r="43" spans="1:28" ht="80.25" customHeight="1">
      <c r="A43" s="484"/>
      <c r="B43" s="652" t="s">
        <v>2287</v>
      </c>
      <c r="C43" s="637"/>
      <c r="D43" s="470"/>
      <c r="E43" s="639"/>
      <c r="F43" s="639"/>
      <c r="G43" s="639"/>
      <c r="H43" s="639"/>
      <c r="I43" s="639"/>
      <c r="J43" s="640"/>
      <c r="K43" s="640"/>
      <c r="L43" s="640"/>
      <c r="M43" s="640"/>
      <c r="N43" s="640"/>
      <c r="O43" s="640"/>
      <c r="P43" s="639"/>
      <c r="Q43" s="646">
        <f t="shared" si="10"/>
        <v>500</v>
      </c>
      <c r="R43" s="646">
        <v>500</v>
      </c>
      <c r="S43" s="640"/>
      <c r="T43" s="640"/>
      <c r="U43" s="640"/>
      <c r="V43" s="640"/>
      <c r="W43" s="640"/>
      <c r="X43" s="640"/>
      <c r="Y43" s="640"/>
      <c r="Z43" s="640"/>
      <c r="AA43" s="640"/>
      <c r="AB43" s="623"/>
    </row>
    <row r="44" spans="1:28" ht="80.25" customHeight="1">
      <c r="A44" s="484"/>
      <c r="B44" s="631" t="s">
        <v>2288</v>
      </c>
      <c r="C44" s="637"/>
      <c r="D44" s="470"/>
      <c r="E44" s="639"/>
      <c r="F44" s="639"/>
      <c r="G44" s="639"/>
      <c r="H44" s="639"/>
      <c r="I44" s="639"/>
      <c r="J44" s="640"/>
      <c r="K44" s="640"/>
      <c r="L44" s="640"/>
      <c r="M44" s="640"/>
      <c r="N44" s="640"/>
      <c r="O44" s="640"/>
      <c r="P44" s="639"/>
      <c r="Q44" s="646">
        <f t="shared" si="10"/>
        <v>700</v>
      </c>
      <c r="R44" s="646">
        <v>700</v>
      </c>
      <c r="S44" s="640"/>
      <c r="T44" s="640"/>
      <c r="U44" s="640"/>
      <c r="V44" s="640"/>
      <c r="W44" s="640"/>
      <c r="X44" s="640"/>
      <c r="Y44" s="640"/>
      <c r="Z44" s="640"/>
      <c r="AA44" s="640"/>
      <c r="AB44" s="623"/>
    </row>
    <row r="45" spans="1:28" s="606" customFormat="1" ht="95.25" customHeight="1">
      <c r="A45" s="653" t="s">
        <v>91</v>
      </c>
      <c r="B45" s="654" t="s">
        <v>2274</v>
      </c>
      <c r="C45" s="616"/>
      <c r="D45" s="623"/>
      <c r="E45" s="619"/>
      <c r="F45" s="619"/>
      <c r="G45" s="620"/>
      <c r="H45" s="619"/>
      <c r="I45" s="619"/>
      <c r="J45" s="620"/>
      <c r="K45" s="620"/>
      <c r="L45" s="620"/>
      <c r="M45" s="620"/>
      <c r="N45" s="620"/>
      <c r="O45" s="620"/>
      <c r="P45" s="620"/>
      <c r="Q45" s="619">
        <f>SUM(R45:AA45)</f>
        <v>120000</v>
      </c>
      <c r="R45" s="619"/>
      <c r="S45" s="620"/>
      <c r="T45" s="620"/>
      <c r="U45" s="655">
        <v>120000</v>
      </c>
      <c r="V45" s="620"/>
      <c r="W45" s="620"/>
      <c r="X45" s="620"/>
      <c r="Y45" s="620"/>
      <c r="Z45" s="620"/>
      <c r="AA45" s="620"/>
      <c r="AB45" s="623"/>
    </row>
    <row r="46" spans="1:28" s="624" customFormat="1" ht="75" customHeight="1">
      <c r="A46" s="653" t="s">
        <v>2291</v>
      </c>
      <c r="B46" s="616" t="s">
        <v>1854</v>
      </c>
      <c r="C46" s="616"/>
      <c r="D46" s="617"/>
      <c r="E46" s="619">
        <f>SUM(E47:E50)</f>
        <v>7149</v>
      </c>
      <c r="F46" s="619">
        <f>SUM(F47:F50)</f>
        <v>7149</v>
      </c>
      <c r="G46" s="618"/>
      <c r="H46" s="619">
        <f>SUM(H47:H50)</f>
        <v>7149</v>
      </c>
      <c r="I46" s="619">
        <f>SUM(I47:I50)</f>
        <v>7149</v>
      </c>
      <c r="J46" s="619"/>
      <c r="K46" s="619"/>
      <c r="L46" s="619"/>
      <c r="M46" s="619"/>
      <c r="N46" s="619"/>
      <c r="O46" s="619"/>
      <c r="P46" s="619"/>
      <c r="Q46" s="619">
        <f t="shared" ref="Q46:R46" si="11">SUM(Q47:Q50)</f>
        <v>5951</v>
      </c>
      <c r="R46" s="619">
        <f t="shared" si="11"/>
        <v>5951</v>
      </c>
      <c r="S46" s="618"/>
      <c r="T46" s="618"/>
      <c r="U46" s="618"/>
      <c r="V46" s="618"/>
      <c r="W46" s="618"/>
      <c r="X46" s="618"/>
      <c r="Y46" s="618"/>
      <c r="Z46" s="618"/>
      <c r="AA46" s="618"/>
      <c r="AB46" s="617"/>
    </row>
    <row r="47" spans="1:28" s="604" customFormat="1" ht="57.75" customHeight="1">
      <c r="A47" s="656"/>
      <c r="B47" s="625" t="s">
        <v>2139</v>
      </c>
      <c r="C47" s="609" t="s">
        <v>89</v>
      </c>
      <c r="D47" s="632"/>
      <c r="E47" s="630">
        <v>3944</v>
      </c>
      <c r="F47" s="630">
        <v>3944</v>
      </c>
      <c r="G47" s="633"/>
      <c r="H47" s="630">
        <v>3944</v>
      </c>
      <c r="I47" s="630">
        <v>3944</v>
      </c>
      <c r="J47" s="633"/>
      <c r="K47" s="633"/>
      <c r="L47" s="633"/>
      <c r="M47" s="633"/>
      <c r="N47" s="633"/>
      <c r="O47" s="633"/>
      <c r="P47" s="633"/>
      <c r="Q47" s="630">
        <f>SUM(R47:AA47)</f>
        <v>3944</v>
      </c>
      <c r="R47" s="630">
        <f>I47</f>
        <v>3944</v>
      </c>
      <c r="S47" s="633"/>
      <c r="T47" s="633"/>
      <c r="U47" s="633"/>
      <c r="V47" s="633"/>
      <c r="W47" s="633"/>
      <c r="X47" s="633"/>
      <c r="Y47" s="633"/>
      <c r="Z47" s="633"/>
      <c r="AA47" s="633"/>
      <c r="AB47" s="632" t="s">
        <v>577</v>
      </c>
    </row>
    <row r="48" spans="1:28" s="604" customFormat="1" ht="57.75" customHeight="1">
      <c r="A48" s="656"/>
      <c r="B48" s="625" t="s">
        <v>2140</v>
      </c>
      <c r="C48" s="609" t="s">
        <v>89</v>
      </c>
      <c r="D48" s="632"/>
      <c r="E48" s="630">
        <v>924</v>
      </c>
      <c r="F48" s="630">
        <v>924</v>
      </c>
      <c r="G48" s="633"/>
      <c r="H48" s="630">
        <v>924</v>
      </c>
      <c r="I48" s="630">
        <v>924</v>
      </c>
      <c r="J48" s="633"/>
      <c r="K48" s="633"/>
      <c r="L48" s="633"/>
      <c r="M48" s="633"/>
      <c r="N48" s="633"/>
      <c r="O48" s="633"/>
      <c r="P48" s="633"/>
      <c r="Q48" s="630">
        <v>0</v>
      </c>
      <c r="R48" s="630"/>
      <c r="S48" s="633"/>
      <c r="T48" s="633"/>
      <c r="U48" s="633"/>
      <c r="V48" s="633"/>
      <c r="W48" s="633"/>
      <c r="X48" s="633"/>
      <c r="Y48" s="633"/>
      <c r="Z48" s="633"/>
      <c r="AA48" s="633"/>
      <c r="AB48" s="632" t="s">
        <v>2298</v>
      </c>
    </row>
    <row r="49" spans="1:39" s="604" customFormat="1" ht="57.75" customHeight="1">
      <c r="A49" s="656"/>
      <c r="B49" s="625" t="s">
        <v>2141</v>
      </c>
      <c r="C49" s="609" t="s">
        <v>89</v>
      </c>
      <c r="D49" s="632"/>
      <c r="E49" s="630">
        <v>274</v>
      </c>
      <c r="F49" s="630">
        <v>274</v>
      </c>
      <c r="G49" s="633"/>
      <c r="H49" s="630">
        <v>274</v>
      </c>
      <c r="I49" s="630">
        <v>274</v>
      </c>
      <c r="J49" s="633"/>
      <c r="K49" s="633"/>
      <c r="L49" s="633"/>
      <c r="M49" s="633"/>
      <c r="N49" s="633"/>
      <c r="O49" s="633"/>
      <c r="P49" s="633"/>
      <c r="Q49" s="630">
        <v>0</v>
      </c>
      <c r="R49" s="630"/>
      <c r="S49" s="633"/>
      <c r="T49" s="633"/>
      <c r="U49" s="633"/>
      <c r="V49" s="633"/>
      <c r="W49" s="633"/>
      <c r="X49" s="633"/>
      <c r="Y49" s="633"/>
      <c r="Z49" s="633"/>
      <c r="AA49" s="633"/>
      <c r="AB49" s="632" t="s">
        <v>2298</v>
      </c>
    </row>
    <row r="50" spans="1:39" s="604" customFormat="1" ht="56.25" customHeight="1">
      <c r="A50" s="656"/>
      <c r="B50" s="625" t="s">
        <v>2153</v>
      </c>
      <c r="C50" s="609" t="s">
        <v>89</v>
      </c>
      <c r="D50" s="632"/>
      <c r="E50" s="630">
        <v>2007</v>
      </c>
      <c r="F50" s="630">
        <v>2007</v>
      </c>
      <c r="G50" s="633"/>
      <c r="H50" s="630">
        <v>2007</v>
      </c>
      <c r="I50" s="630">
        <v>2007</v>
      </c>
      <c r="J50" s="633"/>
      <c r="K50" s="633"/>
      <c r="L50" s="633"/>
      <c r="M50" s="633"/>
      <c r="N50" s="633"/>
      <c r="O50" s="633"/>
      <c r="P50" s="633"/>
      <c r="Q50" s="630">
        <f t="shared" ref="Q50" si="12">SUM(R50:AA50)</f>
        <v>2007</v>
      </c>
      <c r="R50" s="630">
        <f>I50</f>
        <v>2007</v>
      </c>
      <c r="S50" s="633"/>
      <c r="T50" s="633"/>
      <c r="U50" s="633"/>
      <c r="V50" s="633"/>
      <c r="W50" s="633"/>
      <c r="X50" s="633"/>
      <c r="Y50" s="633"/>
      <c r="Z50" s="633"/>
      <c r="AA50" s="633"/>
      <c r="AB50" s="632" t="s">
        <v>577</v>
      </c>
    </row>
    <row r="51" spans="1:39" s="624" customFormat="1" ht="91.5" hidden="1" customHeight="1">
      <c r="A51" s="653" t="s">
        <v>93</v>
      </c>
      <c r="B51" s="616" t="s">
        <v>1855</v>
      </c>
      <c r="C51" s="616"/>
      <c r="D51" s="617"/>
      <c r="E51" s="618"/>
      <c r="F51" s="618"/>
      <c r="G51" s="618"/>
      <c r="H51" s="619"/>
      <c r="I51" s="619"/>
      <c r="J51" s="618"/>
      <c r="K51" s="618"/>
      <c r="L51" s="618"/>
      <c r="M51" s="618"/>
      <c r="N51" s="618"/>
      <c r="O51" s="618"/>
      <c r="P51" s="620"/>
      <c r="Q51" s="619"/>
      <c r="R51" s="619"/>
      <c r="S51" s="618"/>
      <c r="T51" s="618"/>
      <c r="U51" s="618"/>
      <c r="V51" s="618"/>
      <c r="W51" s="618"/>
      <c r="X51" s="618"/>
      <c r="Y51" s="618"/>
      <c r="Z51" s="618"/>
      <c r="AA51" s="618"/>
      <c r="AB51" s="617"/>
    </row>
    <row r="52" spans="1:39" ht="105" hidden="1" customHeight="1">
      <c r="A52" s="484">
        <v>1</v>
      </c>
      <c r="B52" s="637" t="s">
        <v>1857</v>
      </c>
      <c r="C52" s="637"/>
      <c r="D52" s="470"/>
      <c r="E52" s="640"/>
      <c r="F52" s="640"/>
      <c r="G52" s="640"/>
      <c r="H52" s="475"/>
      <c r="I52" s="475"/>
      <c r="J52" s="640"/>
      <c r="K52" s="640"/>
      <c r="L52" s="640"/>
      <c r="M52" s="644"/>
      <c r="N52" s="644"/>
      <c r="O52" s="640"/>
      <c r="P52" s="640"/>
      <c r="Q52" s="475"/>
      <c r="R52" s="475"/>
      <c r="S52" s="640"/>
      <c r="T52" s="640"/>
      <c r="U52" s="640"/>
      <c r="V52" s="640"/>
      <c r="W52" s="644"/>
      <c r="X52" s="644"/>
      <c r="Y52" s="644"/>
      <c r="Z52" s="644"/>
      <c r="AA52" s="640"/>
      <c r="AB52" s="615" t="s">
        <v>1867</v>
      </c>
    </row>
    <row r="53" spans="1:39" s="606" customFormat="1" ht="89.25" customHeight="1">
      <c r="A53" s="653" t="s">
        <v>92</v>
      </c>
      <c r="B53" s="616" t="s">
        <v>1856</v>
      </c>
      <c r="C53" s="616"/>
      <c r="D53" s="657"/>
      <c r="E53" s="619">
        <f>SUM(E54:E58)</f>
        <v>2138359</v>
      </c>
      <c r="F53" s="619"/>
      <c r="G53" s="619"/>
      <c r="H53" s="619">
        <f t="shared" ref="H53" si="13">I53+L53+M53+O53</f>
        <v>556900</v>
      </c>
      <c r="I53" s="658"/>
      <c r="J53" s="658"/>
      <c r="K53" s="658"/>
      <c r="L53" s="658"/>
      <c r="M53" s="658"/>
      <c r="N53" s="658"/>
      <c r="O53" s="658">
        <f>SUM(O54:O58)</f>
        <v>556900</v>
      </c>
      <c r="P53" s="658">
        <f t="shared" ref="P53:AA53" si="14">SUM(P54:P58)</f>
        <v>0</v>
      </c>
      <c r="Q53" s="658">
        <f t="shared" si="14"/>
        <v>655287</v>
      </c>
      <c r="R53" s="658">
        <f t="shared" si="14"/>
        <v>0</v>
      </c>
      <c r="S53" s="658">
        <f t="shared" si="14"/>
        <v>0</v>
      </c>
      <c r="T53" s="658">
        <f t="shared" si="14"/>
        <v>0</v>
      </c>
      <c r="U53" s="658">
        <f t="shared" si="14"/>
        <v>0</v>
      </c>
      <c r="V53" s="658">
        <f t="shared" si="14"/>
        <v>0</v>
      </c>
      <c r="W53" s="658">
        <f t="shared" si="14"/>
        <v>0</v>
      </c>
      <c r="X53" s="658">
        <f t="shared" si="14"/>
        <v>0</v>
      </c>
      <c r="Y53" s="658">
        <f t="shared" si="14"/>
        <v>0</v>
      </c>
      <c r="Z53" s="658">
        <f t="shared" si="14"/>
        <v>0</v>
      </c>
      <c r="AA53" s="658">
        <f t="shared" si="14"/>
        <v>655287</v>
      </c>
      <c r="AB53" s="623"/>
    </row>
    <row r="54" spans="1:39" s="606" customFormat="1" ht="57.75" customHeight="1">
      <c r="A54" s="653"/>
      <c r="B54" s="626" t="s">
        <v>75</v>
      </c>
      <c r="C54" s="616"/>
      <c r="D54" s="623"/>
      <c r="E54" s="620"/>
      <c r="F54" s="620"/>
      <c r="G54" s="620"/>
      <c r="H54" s="619"/>
      <c r="I54" s="619"/>
      <c r="J54" s="620"/>
      <c r="K54" s="620"/>
      <c r="L54" s="620"/>
      <c r="M54" s="620"/>
      <c r="N54" s="620"/>
      <c r="O54" s="619"/>
      <c r="P54" s="620"/>
      <c r="Q54" s="619"/>
      <c r="R54" s="619"/>
      <c r="S54" s="620"/>
      <c r="T54" s="620"/>
      <c r="U54" s="620"/>
      <c r="V54" s="620"/>
      <c r="W54" s="620"/>
      <c r="X54" s="620"/>
      <c r="Y54" s="620"/>
      <c r="Z54" s="620"/>
      <c r="AA54" s="619"/>
      <c r="AB54" s="623"/>
    </row>
    <row r="55" spans="1:39" s="624" customFormat="1" ht="63" customHeight="1">
      <c r="A55" s="659"/>
      <c r="B55" s="631" t="s">
        <v>120</v>
      </c>
      <c r="C55" s="660" t="s">
        <v>88</v>
      </c>
      <c r="D55" s="661" t="s">
        <v>121</v>
      </c>
      <c r="E55" s="662"/>
      <c r="F55" s="662"/>
      <c r="G55" s="663"/>
      <c r="H55" s="630">
        <f t="shared" ref="H55:H57" si="15">I55+L55+M55+O55</f>
        <v>168774</v>
      </c>
      <c r="I55" s="664"/>
      <c r="J55" s="664"/>
      <c r="K55" s="662"/>
      <c r="L55" s="662"/>
      <c r="M55" s="664"/>
      <c r="N55" s="664"/>
      <c r="O55" s="664">
        <v>168774</v>
      </c>
      <c r="P55" s="664"/>
      <c r="Q55" s="630">
        <f>SUM(R55:AA55)</f>
        <v>168774</v>
      </c>
      <c r="R55" s="664"/>
      <c r="S55" s="664"/>
      <c r="T55" s="662"/>
      <c r="U55" s="662"/>
      <c r="V55" s="662"/>
      <c r="W55" s="664"/>
      <c r="X55" s="664"/>
      <c r="Y55" s="664"/>
      <c r="Z55" s="664"/>
      <c r="AA55" s="664">
        <f>38740+82583+47451</f>
        <v>168774</v>
      </c>
      <c r="AB55" s="634"/>
      <c r="AC55" s="665"/>
      <c r="AD55" s="666"/>
      <c r="AE55" s="667"/>
      <c r="AF55" s="667"/>
      <c r="AG55" s="666"/>
      <c r="AH55" s="666"/>
      <c r="AI55" s="666"/>
      <c r="AJ55" s="666"/>
      <c r="AK55" s="666"/>
      <c r="AL55" s="666"/>
      <c r="AM55" s="668"/>
    </row>
    <row r="56" spans="1:39" s="624" customFormat="1" ht="63" customHeight="1">
      <c r="A56" s="659"/>
      <c r="B56" s="669" t="s">
        <v>127</v>
      </c>
      <c r="C56" s="660" t="s">
        <v>88</v>
      </c>
      <c r="D56" s="661" t="s">
        <v>128</v>
      </c>
      <c r="E56" s="662">
        <v>1481675</v>
      </c>
      <c r="F56" s="670"/>
      <c r="G56" s="670"/>
      <c r="H56" s="630">
        <f t="shared" si="15"/>
        <v>360528</v>
      </c>
      <c r="I56" s="670"/>
      <c r="J56" s="670"/>
      <c r="K56" s="662"/>
      <c r="L56" s="670"/>
      <c r="M56" s="670"/>
      <c r="N56" s="670"/>
      <c r="O56" s="662">
        <v>360528</v>
      </c>
      <c r="P56" s="662"/>
      <c r="Q56" s="630">
        <f t="shared" ref="Q56:Q58" si="16">SUM(R56:AA56)</f>
        <v>385328</v>
      </c>
      <c r="R56" s="670"/>
      <c r="S56" s="670"/>
      <c r="T56" s="662"/>
      <c r="U56" s="662"/>
      <c r="V56" s="670"/>
      <c r="W56" s="670"/>
      <c r="X56" s="670"/>
      <c r="Y56" s="670"/>
      <c r="Z56" s="670"/>
      <c r="AA56" s="662">
        <f>125360+75179+159989+24800</f>
        <v>385328</v>
      </c>
      <c r="AB56" s="618"/>
      <c r="AC56" s="671"/>
      <c r="AD56" s="672"/>
      <c r="AE56" s="667"/>
      <c r="AF56" s="673"/>
      <c r="AG56" s="674"/>
      <c r="AH56" s="674"/>
      <c r="AI56" s="674"/>
      <c r="AJ56" s="674"/>
      <c r="AK56" s="674"/>
      <c r="AL56" s="667"/>
      <c r="AM56" s="668"/>
    </row>
    <row r="57" spans="1:39" s="624" customFormat="1" ht="93" customHeight="1">
      <c r="A57" s="659"/>
      <c r="B57" s="669" t="s">
        <v>131</v>
      </c>
      <c r="C57" s="675" t="s">
        <v>88</v>
      </c>
      <c r="D57" s="632" t="s">
        <v>132</v>
      </c>
      <c r="E57" s="662">
        <v>35684</v>
      </c>
      <c r="F57" s="670"/>
      <c r="G57" s="670"/>
      <c r="H57" s="630">
        <f t="shared" si="15"/>
        <v>4138</v>
      </c>
      <c r="I57" s="670"/>
      <c r="J57" s="670"/>
      <c r="K57" s="662"/>
      <c r="L57" s="670"/>
      <c r="M57" s="670"/>
      <c r="N57" s="670"/>
      <c r="O57" s="662">
        <v>4138</v>
      </c>
      <c r="P57" s="662"/>
      <c r="Q57" s="630">
        <f t="shared" si="16"/>
        <v>4138</v>
      </c>
      <c r="R57" s="670"/>
      <c r="S57" s="670"/>
      <c r="T57" s="662"/>
      <c r="U57" s="662"/>
      <c r="V57" s="670"/>
      <c r="W57" s="670"/>
      <c r="X57" s="670"/>
      <c r="Y57" s="670"/>
      <c r="Z57" s="670"/>
      <c r="AA57" s="662">
        <f>2500+1638</f>
        <v>4138</v>
      </c>
      <c r="AB57" s="618"/>
      <c r="AC57" s="671"/>
      <c r="AD57" s="672"/>
      <c r="AE57" s="667"/>
      <c r="AF57" s="673"/>
      <c r="AG57" s="674"/>
      <c r="AH57" s="674"/>
      <c r="AI57" s="674"/>
      <c r="AJ57" s="674"/>
      <c r="AK57" s="674"/>
      <c r="AL57" s="667"/>
      <c r="AM57" s="668"/>
    </row>
    <row r="58" spans="1:39" s="624" customFormat="1" ht="151.5" customHeight="1">
      <c r="A58" s="659"/>
      <c r="B58" s="676" t="s">
        <v>278</v>
      </c>
      <c r="C58" s="660" t="s">
        <v>88</v>
      </c>
      <c r="D58" s="677" t="s">
        <v>1177</v>
      </c>
      <c r="E58" s="662">
        <v>621000</v>
      </c>
      <c r="F58" s="670"/>
      <c r="G58" s="670"/>
      <c r="H58" s="662">
        <f>SUM(I58:O58)</f>
        <v>23460</v>
      </c>
      <c r="I58" s="670"/>
      <c r="J58" s="670"/>
      <c r="K58" s="670"/>
      <c r="L58" s="670"/>
      <c r="M58" s="670"/>
      <c r="N58" s="670"/>
      <c r="O58" s="662">
        <v>23460</v>
      </c>
      <c r="P58" s="670"/>
      <c r="Q58" s="630">
        <f t="shared" si="16"/>
        <v>97047</v>
      </c>
      <c r="R58" s="670"/>
      <c r="S58" s="670"/>
      <c r="T58" s="670"/>
      <c r="U58" s="670"/>
      <c r="V58" s="670"/>
      <c r="W58" s="670"/>
      <c r="X58" s="670"/>
      <c r="Y58" s="670"/>
      <c r="Z58" s="670"/>
      <c r="AA58" s="662">
        <f>23460+13800+26254+33533</f>
        <v>97047</v>
      </c>
      <c r="AB58" s="618"/>
      <c r="AC58" s="678"/>
      <c r="AD58" s="672"/>
      <c r="AE58" s="667"/>
      <c r="AF58" s="673"/>
      <c r="AG58" s="674"/>
      <c r="AH58" s="674"/>
      <c r="AI58" s="674"/>
      <c r="AJ58" s="674"/>
      <c r="AK58" s="674"/>
      <c r="AL58" s="667"/>
      <c r="AM58" s="668"/>
    </row>
    <row r="59" spans="1:39" s="624" customFormat="1" ht="91.5" customHeight="1">
      <c r="A59" s="653" t="s">
        <v>93</v>
      </c>
      <c r="B59" s="636" t="s">
        <v>1855</v>
      </c>
      <c r="C59" s="660"/>
      <c r="D59" s="677"/>
      <c r="E59" s="655">
        <f>E60</f>
        <v>2255000</v>
      </c>
      <c r="F59" s="655">
        <f t="shared" ref="F59:R59" si="17">F60</f>
        <v>23427</v>
      </c>
      <c r="G59" s="655">
        <f t="shared" si="17"/>
        <v>0</v>
      </c>
      <c r="H59" s="655">
        <f t="shared" si="17"/>
        <v>0</v>
      </c>
      <c r="I59" s="655">
        <f t="shared" si="17"/>
        <v>0</v>
      </c>
      <c r="J59" s="655">
        <f t="shared" si="17"/>
        <v>0</v>
      </c>
      <c r="K59" s="655">
        <f t="shared" si="17"/>
        <v>0</v>
      </c>
      <c r="L59" s="655">
        <f t="shared" si="17"/>
        <v>0</v>
      </c>
      <c r="M59" s="655">
        <f t="shared" si="17"/>
        <v>0</v>
      </c>
      <c r="N59" s="655">
        <f t="shared" si="17"/>
        <v>0</v>
      </c>
      <c r="O59" s="655">
        <f t="shared" si="17"/>
        <v>0</v>
      </c>
      <c r="P59" s="655">
        <f t="shared" si="17"/>
        <v>0</v>
      </c>
      <c r="Q59" s="655">
        <f t="shared" si="17"/>
        <v>23427</v>
      </c>
      <c r="R59" s="655">
        <f t="shared" si="17"/>
        <v>23427</v>
      </c>
      <c r="S59" s="670"/>
      <c r="T59" s="670"/>
      <c r="U59" s="670"/>
      <c r="V59" s="670"/>
      <c r="W59" s="670"/>
      <c r="X59" s="670"/>
      <c r="Y59" s="670"/>
      <c r="Z59" s="670"/>
      <c r="AA59" s="662"/>
      <c r="AB59" s="618"/>
      <c r="AC59" s="673"/>
      <c r="AD59" s="672"/>
      <c r="AE59" s="667"/>
      <c r="AF59" s="673"/>
      <c r="AG59" s="674"/>
      <c r="AH59" s="674"/>
      <c r="AI59" s="674"/>
      <c r="AJ59" s="674"/>
      <c r="AK59" s="674"/>
      <c r="AL59" s="667"/>
      <c r="AM59" s="668"/>
    </row>
    <row r="60" spans="1:39" s="604" customFormat="1" ht="91.5" customHeight="1">
      <c r="A60" s="656">
        <v>1</v>
      </c>
      <c r="B60" s="629" t="s">
        <v>1877</v>
      </c>
      <c r="C60" s="660" t="s">
        <v>88</v>
      </c>
      <c r="D60" s="609" t="s">
        <v>2152</v>
      </c>
      <c r="E60" s="630">
        <v>2255000</v>
      </c>
      <c r="F60" s="662">
        <v>23427</v>
      </c>
      <c r="G60" s="662"/>
      <c r="H60" s="662"/>
      <c r="I60" s="662"/>
      <c r="J60" s="662"/>
      <c r="K60" s="662"/>
      <c r="L60" s="662"/>
      <c r="M60" s="662"/>
      <c r="N60" s="662"/>
      <c r="O60" s="662"/>
      <c r="P60" s="662"/>
      <c r="Q60" s="662">
        <f>SUM(R60:AA60)</f>
        <v>23427</v>
      </c>
      <c r="R60" s="662">
        <v>23427</v>
      </c>
      <c r="S60" s="662"/>
      <c r="T60" s="662"/>
      <c r="U60" s="662"/>
      <c r="V60" s="662"/>
      <c r="W60" s="662"/>
      <c r="X60" s="662"/>
      <c r="Y60" s="662"/>
      <c r="Z60" s="662"/>
      <c r="AA60" s="662"/>
      <c r="AB60" s="632" t="s">
        <v>2235</v>
      </c>
      <c r="AC60" s="667"/>
      <c r="AD60" s="672"/>
      <c r="AE60" s="667"/>
      <c r="AF60" s="667"/>
      <c r="AG60" s="679"/>
      <c r="AH60" s="679"/>
      <c r="AI60" s="679"/>
      <c r="AJ60" s="679"/>
      <c r="AK60" s="679"/>
      <c r="AL60" s="667"/>
      <c r="AM60" s="680"/>
    </row>
    <row r="61" spans="1:39" s="478" customFormat="1" ht="60" customHeight="1">
      <c r="A61" s="615" t="s">
        <v>94</v>
      </c>
      <c r="B61" s="616" t="s">
        <v>96</v>
      </c>
      <c r="C61" s="616"/>
      <c r="D61" s="476"/>
      <c r="E61" s="619">
        <f t="shared" ref="E61:N61" si="18">E62+E69+E82+E86+E93+E104+E113+E131+E147+E148+E149</f>
        <v>9176720</v>
      </c>
      <c r="F61" s="619">
        <f t="shared" si="18"/>
        <v>1852019</v>
      </c>
      <c r="G61" s="619"/>
      <c r="H61" s="619">
        <f t="shared" si="18"/>
        <v>3050505</v>
      </c>
      <c r="I61" s="619">
        <f t="shared" si="18"/>
        <v>1783253</v>
      </c>
      <c r="J61" s="619"/>
      <c r="K61" s="619"/>
      <c r="L61" s="619">
        <f t="shared" si="18"/>
        <v>1080773</v>
      </c>
      <c r="M61" s="619">
        <f t="shared" si="18"/>
        <v>161960</v>
      </c>
      <c r="N61" s="619">
        <f t="shared" si="18"/>
        <v>24519</v>
      </c>
      <c r="O61" s="619"/>
      <c r="P61" s="619">
        <f>P62+P69+P82+P86+P93+P104+P113+P131+P147+P148+P149</f>
        <v>1476817</v>
      </c>
      <c r="Q61" s="619">
        <f>Q62+Q69+Q82+Q86+Q93+Q104+Q113+Q131+Q147+Q148+Q149</f>
        <v>3567208</v>
      </c>
      <c r="R61" s="619">
        <f>R62+R69+R82+R86+R93+R104+R113+R131+R147+R148+R149</f>
        <v>1754968</v>
      </c>
      <c r="S61" s="619"/>
      <c r="T61" s="619"/>
      <c r="U61" s="619"/>
      <c r="V61" s="619">
        <f>V62+V69+V82+V86+V93+V104+V113+V131+V147+V148+V149</f>
        <v>1276771</v>
      </c>
      <c r="W61" s="619">
        <f>W62+W69+W82+W86+W93+W104+W113+W131+W147+W148+W149</f>
        <v>77950</v>
      </c>
      <c r="X61" s="619">
        <f>X62+X69+X82+X86+X93+X104+X113+X131+X147+X148+X149</f>
        <v>24519</v>
      </c>
      <c r="Y61" s="619">
        <f>Y62+Y69+Y82+Y86+Y93+Y104+Y113+Y131+Y147+Y148+Y149</f>
        <v>296000</v>
      </c>
      <c r="Z61" s="619">
        <f>Z62+Z69+Z82+Z86+Z93+Z104+Z113+Z131+Z147+Z148+Z149</f>
        <v>137000</v>
      </c>
      <c r="AA61" s="619"/>
      <c r="AB61" s="615"/>
    </row>
    <row r="62" spans="1:39" s="478" customFormat="1" ht="44.25" customHeight="1">
      <c r="A62" s="623" t="s">
        <v>95</v>
      </c>
      <c r="B62" s="636" t="s">
        <v>1869</v>
      </c>
      <c r="C62" s="636"/>
      <c r="D62" s="476"/>
      <c r="E62" s="619">
        <f>E63+E67</f>
        <v>4698280</v>
      </c>
      <c r="F62" s="619">
        <f t="shared" ref="F62" si="19">F63+F67</f>
        <v>513755</v>
      </c>
      <c r="G62" s="619"/>
      <c r="H62" s="619">
        <f t="shared" ref="H62" si="20">H63+H67</f>
        <v>552396</v>
      </c>
      <c r="I62" s="619">
        <f>I63+I67</f>
        <v>513755</v>
      </c>
      <c r="J62" s="619"/>
      <c r="K62" s="619"/>
      <c r="L62" s="619"/>
      <c r="M62" s="619">
        <f t="shared" ref="M62:Z62" si="21">M63+M67</f>
        <v>14122</v>
      </c>
      <c r="N62" s="619">
        <f t="shared" si="21"/>
        <v>24519</v>
      </c>
      <c r="O62" s="619"/>
      <c r="P62" s="619">
        <f t="shared" si="21"/>
        <v>814835</v>
      </c>
      <c r="Q62" s="619">
        <f t="shared" si="21"/>
        <v>1059448</v>
      </c>
      <c r="R62" s="619">
        <f t="shared" si="21"/>
        <v>580760</v>
      </c>
      <c r="S62" s="619"/>
      <c r="T62" s="619"/>
      <c r="U62" s="619"/>
      <c r="V62" s="619">
        <f t="shared" si="21"/>
        <v>166864</v>
      </c>
      <c r="W62" s="619">
        <f t="shared" si="21"/>
        <v>43622</v>
      </c>
      <c r="X62" s="619">
        <f t="shared" si="21"/>
        <v>24519</v>
      </c>
      <c r="Y62" s="619">
        <f t="shared" si="21"/>
        <v>106683</v>
      </c>
      <c r="Z62" s="619">
        <f t="shared" si="21"/>
        <v>137000</v>
      </c>
      <c r="AA62" s="619"/>
      <c r="AB62" s="615"/>
    </row>
    <row r="63" spans="1:39" s="606" customFormat="1" ht="93.75" customHeight="1">
      <c r="A63" s="681" t="s">
        <v>28</v>
      </c>
      <c r="B63" s="682" t="s">
        <v>97</v>
      </c>
      <c r="C63" s="682"/>
      <c r="D63" s="623"/>
      <c r="E63" s="621">
        <f>E64</f>
        <v>4206280</v>
      </c>
      <c r="F63" s="621">
        <f>F64</f>
        <v>441055</v>
      </c>
      <c r="G63" s="621"/>
      <c r="H63" s="621">
        <f>H64</f>
        <v>479696</v>
      </c>
      <c r="I63" s="621">
        <f>I64</f>
        <v>441055</v>
      </c>
      <c r="J63" s="621"/>
      <c r="K63" s="621"/>
      <c r="L63" s="621"/>
      <c r="M63" s="621">
        <f>M64</f>
        <v>14122</v>
      </c>
      <c r="N63" s="621">
        <f>N64</f>
        <v>24519</v>
      </c>
      <c r="O63" s="621"/>
      <c r="P63" s="621">
        <f t="shared" ref="P63:Z63" si="22">P64</f>
        <v>738135</v>
      </c>
      <c r="Q63" s="621">
        <f t="shared" si="22"/>
        <v>982748</v>
      </c>
      <c r="R63" s="621">
        <f t="shared" si="22"/>
        <v>504060</v>
      </c>
      <c r="S63" s="621"/>
      <c r="T63" s="621"/>
      <c r="U63" s="621"/>
      <c r="V63" s="621">
        <f t="shared" si="22"/>
        <v>166864</v>
      </c>
      <c r="W63" s="621">
        <f t="shared" si="22"/>
        <v>43622</v>
      </c>
      <c r="X63" s="621">
        <f t="shared" si="22"/>
        <v>24519</v>
      </c>
      <c r="Y63" s="621">
        <f t="shared" si="22"/>
        <v>106683</v>
      </c>
      <c r="Z63" s="621">
        <f t="shared" si="22"/>
        <v>137000</v>
      </c>
      <c r="AA63" s="621"/>
      <c r="AB63" s="623"/>
    </row>
    <row r="64" spans="1:39" s="624" customFormat="1" ht="70.5" customHeight="1">
      <c r="A64" s="683" t="s">
        <v>98</v>
      </c>
      <c r="B64" s="684" t="s">
        <v>99</v>
      </c>
      <c r="C64" s="684"/>
      <c r="D64" s="617"/>
      <c r="E64" s="628">
        <f>SUM(E65:E66)</f>
        <v>4206280</v>
      </c>
      <c r="F64" s="628">
        <f>SUM(F65:F66)</f>
        <v>441055</v>
      </c>
      <c r="G64" s="628"/>
      <c r="H64" s="628">
        <f t="shared" ref="H64:I64" si="23">SUM(H65:H66)</f>
        <v>479696</v>
      </c>
      <c r="I64" s="628">
        <f t="shared" si="23"/>
        <v>441055</v>
      </c>
      <c r="J64" s="628"/>
      <c r="K64" s="628"/>
      <c r="L64" s="628"/>
      <c r="M64" s="628">
        <f t="shared" ref="M64:Z64" si="24">SUM(M65:M66)</f>
        <v>14122</v>
      </c>
      <c r="N64" s="628">
        <f t="shared" si="24"/>
        <v>24519</v>
      </c>
      <c r="O64" s="628"/>
      <c r="P64" s="628">
        <f t="shared" si="24"/>
        <v>738135</v>
      </c>
      <c r="Q64" s="628">
        <f t="shared" si="24"/>
        <v>982748</v>
      </c>
      <c r="R64" s="628">
        <f t="shared" si="24"/>
        <v>504060</v>
      </c>
      <c r="S64" s="628"/>
      <c r="T64" s="628"/>
      <c r="U64" s="628"/>
      <c r="V64" s="628">
        <f t="shared" si="24"/>
        <v>166864</v>
      </c>
      <c r="W64" s="628">
        <f t="shared" si="24"/>
        <v>43622</v>
      </c>
      <c r="X64" s="628">
        <f t="shared" si="24"/>
        <v>24519</v>
      </c>
      <c r="Y64" s="628">
        <f t="shared" si="24"/>
        <v>106683</v>
      </c>
      <c r="Z64" s="628">
        <f t="shared" si="24"/>
        <v>137000</v>
      </c>
      <c r="AA64" s="628"/>
      <c r="AB64" s="617"/>
    </row>
    <row r="65" spans="1:28" s="604" customFormat="1" ht="155.25" customHeight="1">
      <c r="A65" s="642" t="s">
        <v>28</v>
      </c>
      <c r="B65" s="643" t="s">
        <v>100</v>
      </c>
      <c r="C65" s="638" t="s">
        <v>86</v>
      </c>
      <c r="D65" s="641" t="s">
        <v>101</v>
      </c>
      <c r="E65" s="644">
        <v>3539586</v>
      </c>
      <c r="F65" s="644">
        <v>336755</v>
      </c>
      <c r="G65" s="644"/>
      <c r="H65" s="475">
        <f>I65+M65+N65</f>
        <v>375396</v>
      </c>
      <c r="I65" s="475">
        <f>224605+50000+80350-19500+2000+55300-27000-14000-15000</f>
        <v>336755</v>
      </c>
      <c r="J65" s="475"/>
      <c r="K65" s="475"/>
      <c r="L65" s="475"/>
      <c r="M65" s="475">
        <f>12904+1218</f>
        <v>14122</v>
      </c>
      <c r="N65" s="475">
        <f>6755+17764</f>
        <v>24519</v>
      </c>
      <c r="O65" s="475"/>
      <c r="P65" s="475">
        <f>65963+100000+34787+4627+12904+1218+6755+17764+16607+143913+137000+7683+100000</f>
        <v>649221</v>
      </c>
      <c r="Q65" s="475">
        <f>SUM(R65:AA65)</f>
        <v>893834</v>
      </c>
      <c r="R65" s="475">
        <f>65963+100000+34787+4627+262613-29500-17000</f>
        <v>421490</v>
      </c>
      <c r="S65" s="475"/>
      <c r="T65" s="475"/>
      <c r="U65" s="475"/>
      <c r="V65" s="475">
        <f>16607+143913</f>
        <v>160520</v>
      </c>
      <c r="W65" s="475">
        <f>12904+1218+29500</f>
        <v>43622</v>
      </c>
      <c r="X65" s="475">
        <f>6755+17764</f>
        <v>24519</v>
      </c>
      <c r="Y65" s="639">
        <f>7683+100000-1000</f>
        <v>106683</v>
      </c>
      <c r="Z65" s="639">
        <v>137000</v>
      </c>
      <c r="AA65" s="475"/>
      <c r="AB65" s="645" t="s">
        <v>2315</v>
      </c>
    </row>
    <row r="66" spans="1:28" s="604" customFormat="1" ht="100.5" customHeight="1">
      <c r="A66" s="642" t="s">
        <v>30</v>
      </c>
      <c r="B66" s="643" t="s">
        <v>102</v>
      </c>
      <c r="C66" s="638" t="s">
        <v>88</v>
      </c>
      <c r="D66" s="641" t="s">
        <v>103</v>
      </c>
      <c r="E66" s="644">
        <v>666694</v>
      </c>
      <c r="F66" s="644">
        <v>104300</v>
      </c>
      <c r="G66" s="644"/>
      <c r="H66" s="475">
        <f>I66+L66+M66+O66</f>
        <v>104300</v>
      </c>
      <c r="I66" s="475">
        <f>50000+62000-7700</f>
        <v>104300</v>
      </c>
      <c r="J66" s="633"/>
      <c r="K66" s="633"/>
      <c r="L66" s="633"/>
      <c r="M66" s="644"/>
      <c r="N66" s="644"/>
      <c r="O66" s="633"/>
      <c r="P66" s="475">
        <f>Q66</f>
        <v>88914</v>
      </c>
      <c r="Q66" s="475">
        <f>SUM(R66:AA66)</f>
        <v>88914</v>
      </c>
      <c r="R66" s="475">
        <f>20000+8270+54300</f>
        <v>82570</v>
      </c>
      <c r="S66" s="633"/>
      <c r="T66" s="633"/>
      <c r="U66" s="633"/>
      <c r="V66" s="685">
        <v>6344</v>
      </c>
      <c r="W66" s="644"/>
      <c r="X66" s="644"/>
      <c r="Y66" s="644"/>
      <c r="Z66" s="644"/>
      <c r="AA66" s="633"/>
      <c r="AB66" s="645" t="s">
        <v>2296</v>
      </c>
    </row>
    <row r="67" spans="1:28" ht="78.75" customHeight="1">
      <c r="A67" s="681" t="s">
        <v>30</v>
      </c>
      <c r="B67" s="682" t="s">
        <v>106</v>
      </c>
      <c r="C67" s="682"/>
      <c r="D67" s="470"/>
      <c r="E67" s="621">
        <f>SUM(E68)</f>
        <v>492000</v>
      </c>
      <c r="F67" s="621">
        <f>SUM(F68)</f>
        <v>72700</v>
      </c>
      <c r="G67" s="621"/>
      <c r="H67" s="621">
        <f>SUM(H68)</f>
        <v>72700</v>
      </c>
      <c r="I67" s="621">
        <f>SUM(I68)</f>
        <v>72700</v>
      </c>
      <c r="J67" s="621"/>
      <c r="K67" s="621"/>
      <c r="L67" s="621"/>
      <c r="M67" s="621"/>
      <c r="N67" s="621"/>
      <c r="O67" s="621"/>
      <c r="P67" s="621">
        <f t="shared" ref="P67:R67" si="25">SUM(P68)</f>
        <v>76700</v>
      </c>
      <c r="Q67" s="621">
        <f t="shared" si="25"/>
        <v>76700</v>
      </c>
      <c r="R67" s="621">
        <f t="shared" si="25"/>
        <v>76700</v>
      </c>
      <c r="S67" s="621"/>
      <c r="T67" s="621"/>
      <c r="U67" s="621"/>
      <c r="V67" s="621"/>
      <c r="W67" s="621"/>
      <c r="X67" s="621"/>
      <c r="Y67" s="621"/>
      <c r="Z67" s="621"/>
      <c r="AA67" s="621"/>
      <c r="AB67" s="623"/>
    </row>
    <row r="68" spans="1:28" s="604" customFormat="1" ht="85.5" customHeight="1">
      <c r="A68" s="642" t="s">
        <v>28</v>
      </c>
      <c r="B68" s="643" t="s">
        <v>107</v>
      </c>
      <c r="C68" s="472" t="s">
        <v>88</v>
      </c>
      <c r="D68" s="641" t="s">
        <v>108</v>
      </c>
      <c r="E68" s="644">
        <v>492000</v>
      </c>
      <c r="F68" s="644">
        <v>72700</v>
      </c>
      <c r="G68" s="644"/>
      <c r="H68" s="475">
        <f>I68+L68+M68+O68</f>
        <v>72700</v>
      </c>
      <c r="I68" s="475">
        <f>65000+7700</f>
        <v>72700</v>
      </c>
      <c r="J68" s="633"/>
      <c r="K68" s="633"/>
      <c r="L68" s="633"/>
      <c r="M68" s="644"/>
      <c r="N68" s="644"/>
      <c r="O68" s="633"/>
      <c r="P68" s="475">
        <v>76700</v>
      </c>
      <c r="Q68" s="475">
        <f>SUM(R68:AA68)</f>
        <v>76700</v>
      </c>
      <c r="R68" s="475">
        <v>76700</v>
      </c>
      <c r="S68" s="633"/>
      <c r="T68" s="633"/>
      <c r="U68" s="633"/>
      <c r="V68" s="633"/>
      <c r="W68" s="644"/>
      <c r="X68" s="644"/>
      <c r="Y68" s="644"/>
      <c r="Z68" s="644"/>
      <c r="AA68" s="633"/>
      <c r="AB68" s="645" t="s">
        <v>1879</v>
      </c>
    </row>
    <row r="69" spans="1:28" s="478" customFormat="1" ht="44.25" customHeight="1">
      <c r="A69" s="623" t="s">
        <v>109</v>
      </c>
      <c r="B69" s="636" t="s">
        <v>110</v>
      </c>
      <c r="C69" s="636"/>
      <c r="D69" s="476"/>
      <c r="E69" s="619">
        <f>E70+E80</f>
        <v>1600713</v>
      </c>
      <c r="F69" s="619">
        <f t="shared" ref="F69:Y69" si="26">F70+F80</f>
        <v>209567</v>
      </c>
      <c r="G69" s="619"/>
      <c r="H69" s="619">
        <f t="shared" si="26"/>
        <v>209567</v>
      </c>
      <c r="I69" s="619">
        <f t="shared" si="26"/>
        <v>209567</v>
      </c>
      <c r="J69" s="619"/>
      <c r="K69" s="619"/>
      <c r="L69" s="619"/>
      <c r="M69" s="619"/>
      <c r="N69" s="619"/>
      <c r="O69" s="619"/>
      <c r="P69" s="619">
        <f t="shared" si="26"/>
        <v>165723</v>
      </c>
      <c r="Q69" s="619">
        <f t="shared" si="26"/>
        <v>171723</v>
      </c>
      <c r="R69" s="619">
        <f t="shared" si="26"/>
        <v>127123</v>
      </c>
      <c r="S69" s="619"/>
      <c r="T69" s="619"/>
      <c r="U69" s="619"/>
      <c r="V69" s="619"/>
      <c r="W69" s="619"/>
      <c r="X69" s="619"/>
      <c r="Y69" s="619">
        <f t="shared" si="26"/>
        <v>44600</v>
      </c>
      <c r="Z69" s="619"/>
      <c r="AA69" s="619"/>
      <c r="AB69" s="615"/>
    </row>
    <row r="70" spans="1:28" ht="91.5" customHeight="1">
      <c r="A70" s="681" t="s">
        <v>28</v>
      </c>
      <c r="B70" s="682" t="s">
        <v>97</v>
      </c>
      <c r="C70" s="682"/>
      <c r="D70" s="470"/>
      <c r="E70" s="621">
        <f>E71</f>
        <v>1594713</v>
      </c>
      <c r="F70" s="621">
        <f t="shared" ref="F70" si="27">F71</f>
        <v>209567</v>
      </c>
      <c r="G70" s="621"/>
      <c r="H70" s="621">
        <f>H71</f>
        <v>209567</v>
      </c>
      <c r="I70" s="621">
        <f>I71</f>
        <v>209567</v>
      </c>
      <c r="J70" s="621"/>
      <c r="K70" s="621"/>
      <c r="L70" s="621"/>
      <c r="M70" s="621"/>
      <c r="N70" s="621"/>
      <c r="O70" s="621"/>
      <c r="P70" s="621">
        <f t="shared" ref="P70:Y70" si="28">P71</f>
        <v>165723</v>
      </c>
      <c r="Q70" s="621">
        <f t="shared" si="28"/>
        <v>165723</v>
      </c>
      <c r="R70" s="621">
        <f t="shared" si="28"/>
        <v>127123</v>
      </c>
      <c r="S70" s="621"/>
      <c r="T70" s="621"/>
      <c r="U70" s="621"/>
      <c r="V70" s="621"/>
      <c r="W70" s="621"/>
      <c r="X70" s="621"/>
      <c r="Y70" s="621">
        <f t="shared" si="28"/>
        <v>38600</v>
      </c>
      <c r="Z70" s="621"/>
      <c r="AA70" s="621"/>
      <c r="AB70" s="623"/>
    </row>
    <row r="71" spans="1:28" s="478" customFormat="1" ht="58.5" customHeight="1">
      <c r="A71" s="683" t="s">
        <v>98</v>
      </c>
      <c r="B71" s="684" t="s">
        <v>99</v>
      </c>
      <c r="C71" s="684"/>
      <c r="D71" s="476"/>
      <c r="E71" s="627">
        <f>SUM(E72:E79)</f>
        <v>1594713</v>
      </c>
      <c r="F71" s="627">
        <f t="shared" ref="F71" si="29">SUM(F72:F79)</f>
        <v>209567</v>
      </c>
      <c r="G71" s="627"/>
      <c r="H71" s="627">
        <f>SUM(H72:H79)</f>
        <v>209567</v>
      </c>
      <c r="I71" s="627">
        <f>SUM(I72:I79)</f>
        <v>209567</v>
      </c>
      <c r="J71" s="627"/>
      <c r="K71" s="627"/>
      <c r="L71" s="627"/>
      <c r="M71" s="627"/>
      <c r="N71" s="627"/>
      <c r="O71" s="627"/>
      <c r="P71" s="627">
        <f t="shared" ref="P71:Y71" si="30">SUM(P72:P79)</f>
        <v>165723</v>
      </c>
      <c r="Q71" s="627">
        <f t="shared" si="30"/>
        <v>165723</v>
      </c>
      <c r="R71" s="627">
        <f t="shared" si="30"/>
        <v>127123</v>
      </c>
      <c r="S71" s="627"/>
      <c r="T71" s="627"/>
      <c r="U71" s="627"/>
      <c r="V71" s="627"/>
      <c r="W71" s="627"/>
      <c r="X71" s="627"/>
      <c r="Y71" s="627">
        <f t="shared" si="30"/>
        <v>38600</v>
      </c>
      <c r="Z71" s="627"/>
      <c r="AA71" s="627"/>
      <c r="AB71" s="608"/>
    </row>
    <row r="72" spans="1:28" s="478" customFormat="1" ht="81" customHeight="1">
      <c r="A72" s="470" t="s">
        <v>28</v>
      </c>
      <c r="B72" s="686" t="s">
        <v>111</v>
      </c>
      <c r="C72" s="472" t="s">
        <v>88</v>
      </c>
      <c r="D72" s="642" t="s">
        <v>112</v>
      </c>
      <c r="E72" s="475">
        <v>253282</v>
      </c>
      <c r="F72" s="475">
        <v>39220</v>
      </c>
      <c r="G72" s="475"/>
      <c r="H72" s="475">
        <f t="shared" ref="H72:H79" si="31">I72+L72+M72+O72</f>
        <v>39220</v>
      </c>
      <c r="I72" s="475">
        <v>39220</v>
      </c>
      <c r="J72" s="476"/>
      <c r="K72" s="476"/>
      <c r="L72" s="476"/>
      <c r="M72" s="476"/>
      <c r="N72" s="476"/>
      <c r="O72" s="476"/>
      <c r="P72" s="475">
        <f>4820+15000+14934</f>
        <v>34754</v>
      </c>
      <c r="Q72" s="475">
        <f>SUM(R72:AA72)</f>
        <v>34754</v>
      </c>
      <c r="R72" s="475">
        <f>P72</f>
        <v>34754</v>
      </c>
      <c r="S72" s="476"/>
      <c r="T72" s="476"/>
      <c r="U72" s="476"/>
      <c r="V72" s="476"/>
      <c r="W72" s="476"/>
      <c r="X72" s="476"/>
      <c r="Y72" s="476"/>
      <c r="Z72" s="476"/>
      <c r="AA72" s="476"/>
      <c r="AB72" s="477" t="s">
        <v>113</v>
      </c>
    </row>
    <row r="73" spans="1:28" s="478" customFormat="1" ht="185.25" customHeight="1">
      <c r="A73" s="470">
        <v>2</v>
      </c>
      <c r="B73" s="471" t="s">
        <v>114</v>
      </c>
      <c r="C73" s="472" t="s">
        <v>88</v>
      </c>
      <c r="D73" s="473" t="s">
        <v>115</v>
      </c>
      <c r="E73" s="474">
        <v>110780</v>
      </c>
      <c r="F73" s="475">
        <v>31998</v>
      </c>
      <c r="G73" s="475"/>
      <c r="H73" s="475">
        <f t="shared" si="31"/>
        <v>31998</v>
      </c>
      <c r="I73" s="475">
        <f>20820+11178</f>
        <v>31998</v>
      </c>
      <c r="J73" s="476"/>
      <c r="K73" s="476"/>
      <c r="L73" s="476"/>
      <c r="M73" s="476"/>
      <c r="N73" s="476"/>
      <c r="O73" s="476"/>
      <c r="P73" s="475">
        <f>12820+8600+8600</f>
        <v>30020</v>
      </c>
      <c r="Q73" s="475">
        <f>SUM(R73:AA73)</f>
        <v>30020</v>
      </c>
      <c r="R73" s="475">
        <f>12820+8600</f>
        <v>21420</v>
      </c>
      <c r="S73" s="476"/>
      <c r="T73" s="476"/>
      <c r="U73" s="476"/>
      <c r="V73" s="476"/>
      <c r="W73" s="476"/>
      <c r="X73" s="476"/>
      <c r="Y73" s="687">
        <v>8600</v>
      </c>
      <c r="Z73" s="687"/>
      <c r="AA73" s="476"/>
      <c r="AB73" s="477" t="s">
        <v>113</v>
      </c>
    </row>
    <row r="74" spans="1:28" s="478" customFormat="1" ht="72" customHeight="1">
      <c r="A74" s="470">
        <v>3</v>
      </c>
      <c r="B74" s="471" t="s">
        <v>116</v>
      </c>
      <c r="C74" s="472" t="s">
        <v>88</v>
      </c>
      <c r="D74" s="473" t="s">
        <v>117</v>
      </c>
      <c r="E74" s="474">
        <v>150000</v>
      </c>
      <c r="F74" s="475">
        <v>4000</v>
      </c>
      <c r="G74" s="475"/>
      <c r="H74" s="475">
        <f t="shared" si="31"/>
        <v>4000</v>
      </c>
      <c r="I74" s="475">
        <v>4000</v>
      </c>
      <c r="J74" s="476"/>
      <c r="K74" s="476"/>
      <c r="L74" s="476"/>
      <c r="M74" s="476"/>
      <c r="N74" s="476"/>
      <c r="O74" s="476"/>
      <c r="P74" s="475">
        <f>1500+1590+910</f>
        <v>4000</v>
      </c>
      <c r="Q74" s="475">
        <f>SUM(R74:AA74)</f>
        <v>4000</v>
      </c>
      <c r="R74" s="475">
        <f>I74</f>
        <v>4000</v>
      </c>
      <c r="S74" s="476"/>
      <c r="T74" s="476"/>
      <c r="U74" s="476"/>
      <c r="V74" s="476"/>
      <c r="W74" s="476"/>
      <c r="X74" s="476"/>
      <c r="Y74" s="476"/>
      <c r="Z74" s="476"/>
      <c r="AA74" s="476"/>
      <c r="AB74" s="477" t="s">
        <v>1858</v>
      </c>
    </row>
    <row r="75" spans="1:28" s="478" customFormat="1" ht="99" customHeight="1">
      <c r="A75" s="470">
        <v>4</v>
      </c>
      <c r="B75" s="471" t="s">
        <v>118</v>
      </c>
      <c r="C75" s="472" t="s">
        <v>88</v>
      </c>
      <c r="D75" s="473" t="s">
        <v>119</v>
      </c>
      <c r="E75" s="474">
        <v>569000</v>
      </c>
      <c r="F75" s="475">
        <v>10000</v>
      </c>
      <c r="H75" s="475">
        <f t="shared" si="31"/>
        <v>10000</v>
      </c>
      <c r="I75" s="475">
        <v>10000</v>
      </c>
      <c r="J75" s="476"/>
      <c r="K75" s="476"/>
      <c r="L75" s="476"/>
      <c r="M75" s="476"/>
      <c r="N75" s="476"/>
      <c r="O75" s="476"/>
      <c r="P75" s="476">
        <f>Q75</f>
        <v>10000</v>
      </c>
      <c r="Q75" s="475">
        <f>SUM(R75:AA75)</f>
        <v>10000</v>
      </c>
      <c r="R75" s="475">
        <f>I75</f>
        <v>10000</v>
      </c>
      <c r="S75" s="476"/>
      <c r="T75" s="476"/>
      <c r="U75" s="476"/>
      <c r="V75" s="476"/>
      <c r="W75" s="476"/>
      <c r="X75" s="476"/>
      <c r="Y75" s="476"/>
      <c r="Z75" s="476"/>
      <c r="AA75" s="476"/>
      <c r="AB75" s="477" t="s">
        <v>1873</v>
      </c>
    </row>
    <row r="76" spans="1:28" s="478" customFormat="1" ht="95.25" customHeight="1">
      <c r="A76" s="470">
        <v>5</v>
      </c>
      <c r="B76" s="471" t="s">
        <v>120</v>
      </c>
      <c r="C76" s="472" t="s">
        <v>88</v>
      </c>
      <c r="D76" s="642" t="s">
        <v>121</v>
      </c>
      <c r="E76" s="688">
        <v>310451</v>
      </c>
      <c r="F76" s="688">
        <v>112699</v>
      </c>
      <c r="G76" s="476"/>
      <c r="H76" s="475">
        <f t="shared" si="31"/>
        <v>112699</v>
      </c>
      <c r="I76" s="475">
        <v>112699</v>
      </c>
      <c r="J76" s="644"/>
      <c r="K76" s="644"/>
      <c r="L76" s="644"/>
      <c r="M76" s="644"/>
      <c r="N76" s="644"/>
      <c r="O76" s="644"/>
      <c r="P76" s="644">
        <f>32299+20000+30000</f>
        <v>82299</v>
      </c>
      <c r="Q76" s="475">
        <f>SUM(R76:AA76)</f>
        <v>82299</v>
      </c>
      <c r="R76" s="475">
        <f>32299+20000</f>
        <v>52299</v>
      </c>
      <c r="S76" s="644"/>
      <c r="T76" s="644"/>
      <c r="U76" s="644"/>
      <c r="V76" s="644"/>
      <c r="W76" s="644"/>
      <c r="X76" s="644"/>
      <c r="Y76" s="689">
        <v>30000</v>
      </c>
      <c r="Z76" s="689"/>
      <c r="AA76" s="644"/>
      <c r="AB76" s="477" t="s">
        <v>1859</v>
      </c>
    </row>
    <row r="77" spans="1:28" s="478" customFormat="1" ht="95.25" customHeight="1">
      <c r="A77" s="690">
        <v>6</v>
      </c>
      <c r="B77" s="691" t="s">
        <v>934</v>
      </c>
      <c r="C77" s="472" t="s">
        <v>88</v>
      </c>
      <c r="D77" s="642" t="s">
        <v>2151</v>
      </c>
      <c r="E77" s="688">
        <v>150000</v>
      </c>
      <c r="F77" s="688">
        <v>7000</v>
      </c>
      <c r="G77" s="476"/>
      <c r="H77" s="475">
        <f t="shared" si="31"/>
        <v>7000</v>
      </c>
      <c r="I77" s="475">
        <v>7000</v>
      </c>
      <c r="J77" s="644"/>
      <c r="K77" s="644"/>
      <c r="L77" s="644"/>
      <c r="M77" s="644"/>
      <c r="N77" s="644"/>
      <c r="O77" s="644"/>
      <c r="P77" s="644"/>
      <c r="Q77" s="475"/>
      <c r="R77" s="475"/>
      <c r="S77" s="644"/>
      <c r="T77" s="644"/>
      <c r="U77" s="644"/>
      <c r="V77" s="644"/>
      <c r="W77" s="644"/>
      <c r="X77" s="644"/>
      <c r="Y77" s="644"/>
      <c r="Z77" s="644"/>
      <c r="AA77" s="644"/>
      <c r="AB77" s="477" t="s">
        <v>2289</v>
      </c>
    </row>
    <row r="78" spans="1:28" s="478" customFormat="1" ht="95.25" customHeight="1">
      <c r="A78" s="690">
        <v>7</v>
      </c>
      <c r="B78" s="686" t="s">
        <v>291</v>
      </c>
      <c r="C78" s="692" t="s">
        <v>89</v>
      </c>
      <c r="D78" s="693" t="s">
        <v>292</v>
      </c>
      <c r="E78" s="687">
        <v>41700</v>
      </c>
      <c r="F78" s="687">
        <v>4100</v>
      </c>
      <c r="G78" s="475"/>
      <c r="H78" s="475">
        <f t="shared" si="31"/>
        <v>4100</v>
      </c>
      <c r="I78" s="475">
        <v>4100</v>
      </c>
      <c r="J78" s="644"/>
      <c r="K78" s="644"/>
      <c r="L78" s="644"/>
      <c r="M78" s="644"/>
      <c r="N78" s="644"/>
      <c r="O78" s="644"/>
      <c r="P78" s="644">
        <f>Q78</f>
        <v>4100</v>
      </c>
      <c r="Q78" s="475">
        <f>SUM(R78:AA78)</f>
        <v>4100</v>
      </c>
      <c r="R78" s="475">
        <f>I78</f>
        <v>4100</v>
      </c>
      <c r="S78" s="644"/>
      <c r="T78" s="644"/>
      <c r="U78" s="644"/>
      <c r="V78" s="644"/>
      <c r="W78" s="644"/>
      <c r="X78" s="644"/>
      <c r="Y78" s="644"/>
      <c r="Z78" s="644"/>
      <c r="AA78" s="644"/>
      <c r="AB78" s="615"/>
    </row>
    <row r="79" spans="1:28" s="478" customFormat="1" ht="95.25" customHeight="1">
      <c r="A79" s="690">
        <v>8</v>
      </c>
      <c r="B79" s="485" t="s">
        <v>303</v>
      </c>
      <c r="C79" s="472" t="s">
        <v>89</v>
      </c>
      <c r="D79" s="642" t="s">
        <v>304</v>
      </c>
      <c r="E79" s="688">
        <v>9500</v>
      </c>
      <c r="F79" s="687">
        <v>550</v>
      </c>
      <c r="G79" s="475"/>
      <c r="H79" s="475">
        <f t="shared" si="31"/>
        <v>550</v>
      </c>
      <c r="I79" s="475">
        <v>550</v>
      </c>
      <c r="J79" s="644"/>
      <c r="K79" s="644"/>
      <c r="L79" s="644"/>
      <c r="M79" s="644"/>
      <c r="N79" s="644"/>
      <c r="O79" s="644"/>
      <c r="P79" s="644">
        <f>Q79</f>
        <v>550</v>
      </c>
      <c r="Q79" s="475">
        <f>SUM(R79:AA79)</f>
        <v>550</v>
      </c>
      <c r="R79" s="475">
        <f>I79</f>
        <v>550</v>
      </c>
      <c r="S79" s="644"/>
      <c r="T79" s="644"/>
      <c r="U79" s="644"/>
      <c r="V79" s="644"/>
      <c r="W79" s="644"/>
      <c r="X79" s="644"/>
      <c r="Y79" s="644"/>
      <c r="Z79" s="644"/>
      <c r="AA79" s="644"/>
      <c r="AB79" s="615"/>
    </row>
    <row r="80" spans="1:28" s="698" customFormat="1" ht="95.25" customHeight="1">
      <c r="A80" s="694">
        <v>2</v>
      </c>
      <c r="B80" s="695" t="s">
        <v>106</v>
      </c>
      <c r="C80" s="696"/>
      <c r="D80" s="681"/>
      <c r="E80" s="697">
        <f>E81</f>
        <v>6000</v>
      </c>
      <c r="F80" s="697">
        <f t="shared" ref="F80:Y80" si="32">F81</f>
        <v>0</v>
      </c>
      <c r="G80" s="697">
        <f t="shared" si="32"/>
        <v>0</v>
      </c>
      <c r="H80" s="697">
        <f t="shared" si="32"/>
        <v>0</v>
      </c>
      <c r="I80" s="697">
        <f t="shared" si="32"/>
        <v>0</v>
      </c>
      <c r="J80" s="697">
        <f t="shared" si="32"/>
        <v>0</v>
      </c>
      <c r="K80" s="697">
        <f t="shared" si="32"/>
        <v>0</v>
      </c>
      <c r="L80" s="697">
        <f t="shared" si="32"/>
        <v>0</v>
      </c>
      <c r="M80" s="697">
        <f t="shared" si="32"/>
        <v>0</v>
      </c>
      <c r="N80" s="697">
        <f t="shared" si="32"/>
        <v>0</v>
      </c>
      <c r="O80" s="697">
        <f t="shared" si="32"/>
        <v>0</v>
      </c>
      <c r="P80" s="697">
        <f t="shared" si="32"/>
        <v>0</v>
      </c>
      <c r="Q80" s="697">
        <f t="shared" si="32"/>
        <v>6000</v>
      </c>
      <c r="R80" s="697">
        <f t="shared" si="32"/>
        <v>0</v>
      </c>
      <c r="S80" s="697">
        <f t="shared" si="32"/>
        <v>0</v>
      </c>
      <c r="T80" s="697">
        <f t="shared" si="32"/>
        <v>0</v>
      </c>
      <c r="U80" s="697">
        <f t="shared" si="32"/>
        <v>0</v>
      </c>
      <c r="V80" s="697">
        <f t="shared" si="32"/>
        <v>0</v>
      </c>
      <c r="W80" s="697">
        <f t="shared" si="32"/>
        <v>0</v>
      </c>
      <c r="X80" s="697">
        <f t="shared" si="32"/>
        <v>0</v>
      </c>
      <c r="Y80" s="697">
        <f t="shared" si="32"/>
        <v>6000</v>
      </c>
      <c r="Z80" s="621"/>
      <c r="AA80" s="621"/>
      <c r="AB80" s="615"/>
    </row>
    <row r="81" spans="1:28" s="478" customFormat="1" ht="95.25" customHeight="1">
      <c r="A81" s="690">
        <v>1</v>
      </c>
      <c r="B81" s="637" t="s">
        <v>2308</v>
      </c>
      <c r="C81" s="472" t="s">
        <v>89</v>
      </c>
      <c r="D81" s="642" t="s">
        <v>2309</v>
      </c>
      <c r="E81" s="688">
        <v>6000</v>
      </c>
      <c r="F81" s="687"/>
      <c r="G81" s="475"/>
      <c r="H81" s="475"/>
      <c r="I81" s="475"/>
      <c r="J81" s="644"/>
      <c r="K81" s="644"/>
      <c r="L81" s="644"/>
      <c r="M81" s="644"/>
      <c r="N81" s="644"/>
      <c r="O81" s="644"/>
      <c r="P81" s="644"/>
      <c r="Q81" s="475">
        <f>SUM(R81:AA81)</f>
        <v>6000</v>
      </c>
      <c r="R81" s="475"/>
      <c r="S81" s="644"/>
      <c r="T81" s="644"/>
      <c r="U81" s="644"/>
      <c r="V81" s="644"/>
      <c r="W81" s="644"/>
      <c r="X81" s="644"/>
      <c r="Y81" s="644">
        <v>6000</v>
      </c>
      <c r="Z81" s="644"/>
      <c r="AA81" s="644"/>
      <c r="AB81" s="615"/>
    </row>
    <row r="82" spans="1:28" s="478" customFormat="1" ht="95.25" customHeight="1">
      <c r="A82" s="690" t="s">
        <v>122</v>
      </c>
      <c r="B82" s="616" t="s">
        <v>307</v>
      </c>
      <c r="C82" s="472"/>
      <c r="D82" s="642"/>
      <c r="E82" s="697">
        <f>E83</f>
        <v>98050</v>
      </c>
      <c r="F82" s="697">
        <f t="shared" ref="F82:Y82" si="33">F83</f>
        <v>0</v>
      </c>
      <c r="G82" s="697">
        <f t="shared" si="33"/>
        <v>0</v>
      </c>
      <c r="H82" s="697">
        <f t="shared" si="33"/>
        <v>0</v>
      </c>
      <c r="I82" s="697">
        <f t="shared" si="33"/>
        <v>0</v>
      </c>
      <c r="J82" s="697">
        <f t="shared" si="33"/>
        <v>0</v>
      </c>
      <c r="K82" s="697">
        <f t="shared" si="33"/>
        <v>0</v>
      </c>
      <c r="L82" s="697">
        <f t="shared" si="33"/>
        <v>0</v>
      </c>
      <c r="M82" s="697">
        <f t="shared" si="33"/>
        <v>0</v>
      </c>
      <c r="N82" s="697">
        <f t="shared" si="33"/>
        <v>0</v>
      </c>
      <c r="O82" s="697">
        <f t="shared" si="33"/>
        <v>0</v>
      </c>
      <c r="P82" s="697">
        <f t="shared" si="33"/>
        <v>23895</v>
      </c>
      <c r="Q82" s="697">
        <f t="shared" si="33"/>
        <v>23895</v>
      </c>
      <c r="R82" s="697">
        <f t="shared" si="33"/>
        <v>0</v>
      </c>
      <c r="S82" s="697">
        <f t="shared" si="33"/>
        <v>0</v>
      </c>
      <c r="T82" s="697">
        <f t="shared" si="33"/>
        <v>0</v>
      </c>
      <c r="U82" s="697">
        <f t="shared" si="33"/>
        <v>0</v>
      </c>
      <c r="V82" s="697">
        <f t="shared" si="33"/>
        <v>0</v>
      </c>
      <c r="W82" s="697">
        <f t="shared" si="33"/>
        <v>0</v>
      </c>
      <c r="X82" s="697">
        <f t="shared" si="33"/>
        <v>0</v>
      </c>
      <c r="Y82" s="697">
        <f t="shared" si="33"/>
        <v>23895</v>
      </c>
      <c r="Z82" s="644"/>
      <c r="AA82" s="644"/>
      <c r="AB82" s="615"/>
    </row>
    <row r="83" spans="1:28" s="478" customFormat="1" ht="95.25" customHeight="1">
      <c r="A83" s="690"/>
      <c r="B83" s="682" t="s">
        <v>106</v>
      </c>
      <c r="C83" s="472"/>
      <c r="D83" s="642"/>
      <c r="E83" s="697">
        <f>SUM(E84:E85)</f>
        <v>98050</v>
      </c>
      <c r="F83" s="697">
        <f t="shared" ref="F83:Q83" si="34">SUM(F84:F85)</f>
        <v>0</v>
      </c>
      <c r="G83" s="697">
        <f t="shared" si="34"/>
        <v>0</v>
      </c>
      <c r="H83" s="697">
        <f t="shared" si="34"/>
        <v>0</v>
      </c>
      <c r="I83" s="697">
        <f t="shared" si="34"/>
        <v>0</v>
      </c>
      <c r="J83" s="697">
        <f t="shared" si="34"/>
        <v>0</v>
      </c>
      <c r="K83" s="697">
        <f t="shared" si="34"/>
        <v>0</v>
      </c>
      <c r="L83" s="697">
        <f t="shared" si="34"/>
        <v>0</v>
      </c>
      <c r="M83" s="697">
        <f t="shared" si="34"/>
        <v>0</v>
      </c>
      <c r="N83" s="697">
        <f t="shared" si="34"/>
        <v>0</v>
      </c>
      <c r="O83" s="697">
        <f t="shared" si="34"/>
        <v>0</v>
      </c>
      <c r="P83" s="697">
        <f t="shared" si="34"/>
        <v>23895</v>
      </c>
      <c r="Q83" s="697">
        <f t="shared" si="34"/>
        <v>23895</v>
      </c>
      <c r="R83" s="697">
        <f t="shared" ref="R83" si="35">SUM(R84:R85)</f>
        <v>0</v>
      </c>
      <c r="S83" s="697">
        <f t="shared" ref="S83" si="36">SUM(S84:S85)</f>
        <v>0</v>
      </c>
      <c r="T83" s="697">
        <f t="shared" ref="T83" si="37">SUM(T84:T85)</f>
        <v>0</v>
      </c>
      <c r="U83" s="697">
        <f t="shared" ref="U83" si="38">SUM(U84:U85)</f>
        <v>0</v>
      </c>
      <c r="V83" s="697">
        <f t="shared" ref="V83" si="39">SUM(V84:V85)</f>
        <v>0</v>
      </c>
      <c r="W83" s="697">
        <f t="shared" ref="W83" si="40">SUM(W84:W85)</f>
        <v>0</v>
      </c>
      <c r="X83" s="697">
        <f t="shared" ref="X83" si="41">SUM(X84:X85)</f>
        <v>0</v>
      </c>
      <c r="Y83" s="697">
        <f t="shared" ref="Y83" si="42">SUM(Y84:Y85)</f>
        <v>23895</v>
      </c>
      <c r="Z83" s="644"/>
      <c r="AA83" s="644"/>
      <c r="AB83" s="615"/>
    </row>
    <row r="84" spans="1:28" s="478" customFormat="1" ht="95.25" customHeight="1">
      <c r="A84" s="690">
        <v>1</v>
      </c>
      <c r="B84" s="471" t="s">
        <v>326</v>
      </c>
      <c r="C84" s="699" t="s">
        <v>89</v>
      </c>
      <c r="D84" s="641" t="s">
        <v>327</v>
      </c>
      <c r="E84" s="475">
        <v>71887</v>
      </c>
      <c r="F84" s="687"/>
      <c r="G84" s="475"/>
      <c r="H84" s="475"/>
      <c r="I84" s="475"/>
      <c r="J84" s="644"/>
      <c r="K84" s="644"/>
      <c r="L84" s="644"/>
      <c r="M84" s="644"/>
      <c r="N84" s="644"/>
      <c r="O84" s="644"/>
      <c r="P84" s="644">
        <f>Q84</f>
        <v>18895</v>
      </c>
      <c r="Q84" s="475">
        <f>SUM(R84:AA84)</f>
        <v>18895</v>
      </c>
      <c r="R84" s="475"/>
      <c r="S84" s="644"/>
      <c r="T84" s="644"/>
      <c r="U84" s="644"/>
      <c r="V84" s="644"/>
      <c r="W84" s="644"/>
      <c r="X84" s="644"/>
      <c r="Y84" s="687">
        <v>18895</v>
      </c>
      <c r="Z84" s="687"/>
      <c r="AA84" s="644"/>
      <c r="AB84" s="615"/>
    </row>
    <row r="85" spans="1:28" s="478" customFormat="1" ht="95.25" customHeight="1">
      <c r="A85" s="690">
        <v>2</v>
      </c>
      <c r="B85" s="471" t="s">
        <v>343</v>
      </c>
      <c r="C85" s="699" t="s">
        <v>89</v>
      </c>
      <c r="D85" s="641" t="s">
        <v>344</v>
      </c>
      <c r="E85" s="475">
        <v>26163</v>
      </c>
      <c r="F85" s="687"/>
      <c r="G85" s="475"/>
      <c r="H85" s="475"/>
      <c r="I85" s="475"/>
      <c r="J85" s="644"/>
      <c r="K85" s="644"/>
      <c r="L85" s="644"/>
      <c r="M85" s="644"/>
      <c r="N85" s="644"/>
      <c r="O85" s="644"/>
      <c r="P85" s="644">
        <f>Q85</f>
        <v>5000</v>
      </c>
      <c r="Q85" s="475">
        <f>SUM(R85:AA85)</f>
        <v>5000</v>
      </c>
      <c r="R85" s="475"/>
      <c r="S85" s="644"/>
      <c r="T85" s="644"/>
      <c r="U85" s="644"/>
      <c r="V85" s="644"/>
      <c r="W85" s="644"/>
      <c r="X85" s="644"/>
      <c r="Y85" s="689">
        <v>5000</v>
      </c>
      <c r="Z85" s="689"/>
      <c r="AA85" s="644"/>
      <c r="AB85" s="615"/>
    </row>
    <row r="86" spans="1:28" s="478" customFormat="1" ht="62.25" customHeight="1">
      <c r="A86" s="623" t="s">
        <v>122</v>
      </c>
      <c r="B86" s="636" t="s">
        <v>1870</v>
      </c>
      <c r="C86" s="636"/>
      <c r="D86" s="476"/>
      <c r="E86" s="619">
        <f>E87+E90</f>
        <v>354347</v>
      </c>
      <c r="F86" s="619">
        <f t="shared" ref="F86:Y86" si="43">F87+F90</f>
        <v>30000</v>
      </c>
      <c r="G86" s="619"/>
      <c r="H86" s="619">
        <f t="shared" si="43"/>
        <v>30000</v>
      </c>
      <c r="I86" s="619">
        <f t="shared" si="43"/>
        <v>30000</v>
      </c>
      <c r="J86" s="619"/>
      <c r="K86" s="619"/>
      <c r="L86" s="619"/>
      <c r="M86" s="619"/>
      <c r="N86" s="619"/>
      <c r="O86" s="619"/>
      <c r="P86" s="619">
        <f t="shared" si="43"/>
        <v>44500</v>
      </c>
      <c r="Q86" s="619">
        <f t="shared" si="43"/>
        <v>44500</v>
      </c>
      <c r="R86" s="619">
        <f t="shared" si="43"/>
        <v>30000</v>
      </c>
      <c r="S86" s="619"/>
      <c r="T86" s="619"/>
      <c r="U86" s="619"/>
      <c r="V86" s="619"/>
      <c r="W86" s="619">
        <f t="shared" si="43"/>
        <v>9500</v>
      </c>
      <c r="X86" s="619"/>
      <c r="Y86" s="619">
        <f t="shared" si="43"/>
        <v>5000</v>
      </c>
      <c r="Z86" s="619"/>
      <c r="AA86" s="619"/>
      <c r="AB86" s="615"/>
    </row>
    <row r="87" spans="1:28" ht="96.75" customHeight="1">
      <c r="A87" s="681" t="s">
        <v>28</v>
      </c>
      <c r="B87" s="682" t="s">
        <v>97</v>
      </c>
      <c r="C87" s="682"/>
      <c r="D87" s="470"/>
      <c r="E87" s="621">
        <f>E88</f>
        <v>324347</v>
      </c>
      <c r="F87" s="621">
        <f t="shared" ref="F87:G88" si="44">F88</f>
        <v>30000</v>
      </c>
      <c r="G87" s="621"/>
      <c r="H87" s="621">
        <f>H88</f>
        <v>30000</v>
      </c>
      <c r="I87" s="621">
        <f>I88</f>
        <v>30000</v>
      </c>
      <c r="J87" s="621"/>
      <c r="K87" s="621"/>
      <c r="L87" s="621"/>
      <c r="M87" s="621"/>
      <c r="N87" s="621"/>
      <c r="O87" s="621"/>
      <c r="P87" s="621">
        <f t="shared" ref="J87:R88" si="45">P88</f>
        <v>30000</v>
      </c>
      <c r="Q87" s="621">
        <f t="shared" si="45"/>
        <v>30000</v>
      </c>
      <c r="R87" s="621">
        <f t="shared" si="45"/>
        <v>30000</v>
      </c>
      <c r="S87" s="621"/>
      <c r="T87" s="621"/>
      <c r="U87" s="621"/>
      <c r="V87" s="621"/>
      <c r="W87" s="621"/>
      <c r="X87" s="621"/>
      <c r="Y87" s="621"/>
      <c r="Z87" s="621"/>
      <c r="AA87" s="621"/>
      <c r="AB87" s="623"/>
    </row>
    <row r="88" spans="1:28" s="478" customFormat="1" ht="68.25" customHeight="1">
      <c r="A88" s="683" t="s">
        <v>98</v>
      </c>
      <c r="B88" s="684" t="s">
        <v>99</v>
      </c>
      <c r="C88" s="472"/>
      <c r="D88" s="642"/>
      <c r="E88" s="700">
        <f>E89</f>
        <v>324347</v>
      </c>
      <c r="F88" s="700">
        <f t="shared" si="44"/>
        <v>30000</v>
      </c>
      <c r="G88" s="700">
        <f t="shared" si="44"/>
        <v>0</v>
      </c>
      <c r="H88" s="700">
        <f>H89</f>
        <v>30000</v>
      </c>
      <c r="I88" s="700">
        <f>I89</f>
        <v>30000</v>
      </c>
      <c r="J88" s="700">
        <f t="shared" si="45"/>
        <v>0</v>
      </c>
      <c r="K88" s="700">
        <f t="shared" si="45"/>
        <v>0</v>
      </c>
      <c r="L88" s="700">
        <f t="shared" si="45"/>
        <v>0</v>
      </c>
      <c r="M88" s="700">
        <f t="shared" si="45"/>
        <v>0</v>
      </c>
      <c r="N88" s="700">
        <f t="shared" si="45"/>
        <v>0</v>
      </c>
      <c r="O88" s="700">
        <f t="shared" si="45"/>
        <v>0</v>
      </c>
      <c r="P88" s="700">
        <f t="shared" si="45"/>
        <v>30000</v>
      </c>
      <c r="Q88" s="700">
        <f t="shared" si="45"/>
        <v>30000</v>
      </c>
      <c r="R88" s="700">
        <f t="shared" si="45"/>
        <v>30000</v>
      </c>
      <c r="S88" s="700"/>
      <c r="T88" s="700"/>
      <c r="U88" s="700"/>
      <c r="V88" s="700"/>
      <c r="W88" s="700"/>
      <c r="X88" s="700"/>
      <c r="Y88" s="700"/>
      <c r="Z88" s="700"/>
      <c r="AA88" s="700"/>
      <c r="AB88" s="608"/>
    </row>
    <row r="89" spans="1:28" s="478" customFormat="1" ht="141.75" customHeight="1">
      <c r="A89" s="701">
        <v>1</v>
      </c>
      <c r="B89" s="471" t="s">
        <v>123</v>
      </c>
      <c r="C89" s="472" t="s">
        <v>88</v>
      </c>
      <c r="D89" s="642" t="s">
        <v>124</v>
      </c>
      <c r="E89" s="688">
        <v>324347</v>
      </c>
      <c r="F89" s="688">
        <v>30000</v>
      </c>
      <c r="G89" s="476"/>
      <c r="H89" s="644">
        <f>I89</f>
        <v>30000</v>
      </c>
      <c r="I89" s="644">
        <v>30000</v>
      </c>
      <c r="J89" s="644"/>
      <c r="K89" s="644"/>
      <c r="L89" s="644"/>
      <c r="M89" s="644"/>
      <c r="N89" s="644"/>
      <c r="O89" s="644"/>
      <c r="P89" s="644">
        <f>Q89</f>
        <v>30000</v>
      </c>
      <c r="Q89" s="644">
        <f>R89</f>
        <v>30000</v>
      </c>
      <c r="R89" s="644">
        <f>I89</f>
        <v>30000</v>
      </c>
      <c r="S89" s="644"/>
      <c r="T89" s="644"/>
      <c r="U89" s="644"/>
      <c r="V89" s="644"/>
      <c r="W89" s="644"/>
      <c r="X89" s="644"/>
      <c r="Y89" s="644"/>
      <c r="Z89" s="644"/>
      <c r="AA89" s="644"/>
      <c r="AB89" s="477" t="s">
        <v>113</v>
      </c>
    </row>
    <row r="90" spans="1:28" s="698" customFormat="1" ht="62.25" customHeight="1">
      <c r="A90" s="702">
        <v>2</v>
      </c>
      <c r="B90" s="703" t="s">
        <v>106</v>
      </c>
      <c r="C90" s="696"/>
      <c r="D90" s="681"/>
      <c r="E90" s="697">
        <f>SUM(E91:E92)</f>
        <v>30000</v>
      </c>
      <c r="F90" s="697">
        <f t="shared" ref="F90:AA90" si="46">SUM(F91:F92)</f>
        <v>0</v>
      </c>
      <c r="G90" s="697">
        <f t="shared" si="46"/>
        <v>0</v>
      </c>
      <c r="H90" s="697">
        <f t="shared" si="46"/>
        <v>0</v>
      </c>
      <c r="I90" s="697">
        <f t="shared" si="46"/>
        <v>0</v>
      </c>
      <c r="J90" s="697">
        <f t="shared" si="46"/>
        <v>0</v>
      </c>
      <c r="K90" s="697">
        <f t="shared" si="46"/>
        <v>0</v>
      </c>
      <c r="L90" s="697">
        <f t="shared" si="46"/>
        <v>0</v>
      </c>
      <c r="M90" s="697">
        <f t="shared" si="46"/>
        <v>0</v>
      </c>
      <c r="N90" s="697">
        <f t="shared" si="46"/>
        <v>0</v>
      </c>
      <c r="O90" s="697">
        <f t="shared" si="46"/>
        <v>0</v>
      </c>
      <c r="P90" s="697">
        <f t="shared" si="46"/>
        <v>14500</v>
      </c>
      <c r="Q90" s="697">
        <f t="shared" si="46"/>
        <v>14500</v>
      </c>
      <c r="R90" s="697">
        <f t="shared" si="46"/>
        <v>0</v>
      </c>
      <c r="S90" s="697">
        <f t="shared" si="46"/>
        <v>0</v>
      </c>
      <c r="T90" s="697">
        <f t="shared" si="46"/>
        <v>0</v>
      </c>
      <c r="U90" s="697">
        <f t="shared" si="46"/>
        <v>0</v>
      </c>
      <c r="V90" s="697">
        <f t="shared" si="46"/>
        <v>0</v>
      </c>
      <c r="W90" s="697">
        <f t="shared" si="46"/>
        <v>9500</v>
      </c>
      <c r="X90" s="697">
        <f t="shared" si="46"/>
        <v>0</v>
      </c>
      <c r="Y90" s="697">
        <f t="shared" si="46"/>
        <v>5000</v>
      </c>
      <c r="Z90" s="697">
        <f t="shared" si="46"/>
        <v>0</v>
      </c>
      <c r="AA90" s="697">
        <f t="shared" si="46"/>
        <v>0</v>
      </c>
      <c r="AB90" s="477"/>
    </row>
    <row r="91" spans="1:28" s="478" customFormat="1" ht="62.25" customHeight="1">
      <c r="A91" s="701">
        <v>1</v>
      </c>
      <c r="B91" s="471" t="s">
        <v>2292</v>
      </c>
      <c r="C91" s="472" t="s">
        <v>89</v>
      </c>
      <c r="D91" s="642"/>
      <c r="E91" s="688">
        <v>30000</v>
      </c>
      <c r="F91" s="688"/>
      <c r="G91" s="476"/>
      <c r="H91" s="644"/>
      <c r="I91" s="644"/>
      <c r="J91" s="644"/>
      <c r="K91" s="644"/>
      <c r="L91" s="644"/>
      <c r="M91" s="644"/>
      <c r="N91" s="644"/>
      <c r="O91" s="644"/>
      <c r="P91" s="644">
        <v>5000</v>
      </c>
      <c r="Q91" s="644">
        <f>SUM(R91:AA91)</f>
        <v>5000</v>
      </c>
      <c r="R91" s="644"/>
      <c r="S91" s="644"/>
      <c r="T91" s="644"/>
      <c r="U91" s="644"/>
      <c r="V91" s="644"/>
      <c r="W91" s="644"/>
      <c r="X91" s="644"/>
      <c r="Y91" s="644">
        <v>5000</v>
      </c>
      <c r="Z91" s="644"/>
      <c r="AA91" s="644"/>
      <c r="AB91" s="477"/>
    </row>
    <row r="92" spans="1:28" s="478" customFormat="1" ht="62.25" customHeight="1">
      <c r="A92" s="701">
        <v>2</v>
      </c>
      <c r="B92" s="704" t="s">
        <v>2313</v>
      </c>
      <c r="C92" s="472" t="s">
        <v>89</v>
      </c>
      <c r="D92" s="642"/>
      <c r="E92" s="688"/>
      <c r="F92" s="688"/>
      <c r="G92" s="476"/>
      <c r="H92" s="644"/>
      <c r="I92" s="644"/>
      <c r="J92" s="644"/>
      <c r="K92" s="644"/>
      <c r="L92" s="644"/>
      <c r="M92" s="644"/>
      <c r="N92" s="644"/>
      <c r="O92" s="644"/>
      <c r="P92" s="705">
        <v>9500</v>
      </c>
      <c r="Q92" s="644">
        <f>SUM(R92:AA92)</f>
        <v>9500</v>
      </c>
      <c r="R92" s="644"/>
      <c r="S92" s="644"/>
      <c r="T92" s="644"/>
      <c r="U92" s="644"/>
      <c r="V92" s="644"/>
      <c r="W92" s="705">
        <v>9500</v>
      </c>
      <c r="X92" s="644"/>
      <c r="Y92" s="644"/>
      <c r="Z92" s="644"/>
      <c r="AA92" s="644"/>
      <c r="AB92" s="706" t="s">
        <v>2314</v>
      </c>
    </row>
    <row r="93" spans="1:28" s="707" customFormat="1" ht="60.75" customHeight="1">
      <c r="A93" s="615" t="s">
        <v>125</v>
      </c>
      <c r="B93" s="616" t="s">
        <v>2290</v>
      </c>
      <c r="C93" s="619"/>
      <c r="D93" s="619"/>
      <c r="E93" s="619">
        <f>E94+E99</f>
        <v>1676948</v>
      </c>
      <c r="F93" s="619">
        <f t="shared" ref="F93" si="47">F94+F99</f>
        <v>99308</v>
      </c>
      <c r="G93" s="619"/>
      <c r="H93" s="619">
        <f t="shared" ref="H93:Y93" si="48">H94+H99</f>
        <v>99308</v>
      </c>
      <c r="I93" s="619">
        <f t="shared" si="48"/>
        <v>99308</v>
      </c>
      <c r="J93" s="619"/>
      <c r="K93" s="619"/>
      <c r="L93" s="619"/>
      <c r="M93" s="619"/>
      <c r="N93" s="619"/>
      <c r="O93" s="619"/>
      <c r="P93" s="619">
        <f t="shared" si="48"/>
        <v>84385</v>
      </c>
      <c r="Q93" s="619">
        <f t="shared" si="48"/>
        <v>116266</v>
      </c>
      <c r="R93" s="619">
        <f t="shared" si="48"/>
        <v>84966</v>
      </c>
      <c r="S93" s="619"/>
      <c r="T93" s="619"/>
      <c r="U93" s="619"/>
      <c r="V93" s="619"/>
      <c r="W93" s="619"/>
      <c r="X93" s="619"/>
      <c r="Y93" s="619">
        <f t="shared" si="48"/>
        <v>31300</v>
      </c>
      <c r="Z93" s="619"/>
      <c r="AA93" s="619"/>
      <c r="AB93" s="619"/>
    </row>
    <row r="94" spans="1:28" ht="90" customHeight="1">
      <c r="A94" s="708" t="s">
        <v>28</v>
      </c>
      <c r="B94" s="709" t="s">
        <v>97</v>
      </c>
      <c r="C94" s="709"/>
      <c r="D94" s="690"/>
      <c r="E94" s="710">
        <f>E95</f>
        <v>1523306</v>
      </c>
      <c r="F94" s="710">
        <f t="shared" ref="F94" si="49">F95</f>
        <v>79308</v>
      </c>
      <c r="G94" s="710"/>
      <c r="H94" s="710">
        <f>H95</f>
        <v>79308</v>
      </c>
      <c r="I94" s="710">
        <f>I95</f>
        <v>79308</v>
      </c>
      <c r="J94" s="710"/>
      <c r="K94" s="710"/>
      <c r="L94" s="710"/>
      <c r="M94" s="710"/>
      <c r="N94" s="710"/>
      <c r="O94" s="710"/>
      <c r="P94" s="710">
        <f t="shared" ref="P94:R94" si="50">P95</f>
        <v>78030</v>
      </c>
      <c r="Q94" s="710">
        <f t="shared" si="50"/>
        <v>79961</v>
      </c>
      <c r="R94" s="710">
        <f t="shared" si="50"/>
        <v>79961</v>
      </c>
      <c r="S94" s="710"/>
      <c r="T94" s="710"/>
      <c r="U94" s="710"/>
      <c r="V94" s="710"/>
      <c r="W94" s="710"/>
      <c r="X94" s="710"/>
      <c r="Y94" s="710"/>
      <c r="Z94" s="710"/>
      <c r="AA94" s="710"/>
      <c r="AB94" s="694"/>
    </row>
    <row r="95" spans="1:28" s="478" customFormat="1" ht="57.75" customHeight="1">
      <c r="A95" s="683" t="s">
        <v>98</v>
      </c>
      <c r="B95" s="684" t="s">
        <v>99</v>
      </c>
      <c r="C95" s="684"/>
      <c r="D95" s="476"/>
      <c r="E95" s="627">
        <f>SUM(E96:E98)</f>
        <v>1523306</v>
      </c>
      <c r="F95" s="627">
        <f t="shared" ref="F95" si="51">SUM(F96:F98)</f>
        <v>79308</v>
      </c>
      <c r="G95" s="627"/>
      <c r="H95" s="627">
        <f>SUM(H96:H98)</f>
        <v>79308</v>
      </c>
      <c r="I95" s="627">
        <f>SUM(I96:I98)</f>
        <v>79308</v>
      </c>
      <c r="J95" s="627"/>
      <c r="K95" s="627"/>
      <c r="L95" s="627"/>
      <c r="M95" s="627"/>
      <c r="N95" s="627"/>
      <c r="O95" s="627"/>
      <c r="P95" s="627">
        <f t="shared" ref="P95:R95" si="52">SUM(P96:P98)</f>
        <v>78030</v>
      </c>
      <c r="Q95" s="627">
        <f t="shared" si="52"/>
        <v>79961</v>
      </c>
      <c r="R95" s="627">
        <f t="shared" si="52"/>
        <v>79961</v>
      </c>
      <c r="S95" s="627"/>
      <c r="T95" s="627"/>
      <c r="U95" s="627"/>
      <c r="V95" s="627"/>
      <c r="W95" s="627"/>
      <c r="X95" s="627"/>
      <c r="Y95" s="627"/>
      <c r="Z95" s="627"/>
      <c r="AA95" s="627"/>
      <c r="AB95" s="608"/>
    </row>
    <row r="96" spans="1:28" s="478" customFormat="1" ht="90" customHeight="1">
      <c r="A96" s="484">
        <v>1</v>
      </c>
      <c r="B96" s="485" t="s">
        <v>127</v>
      </c>
      <c r="C96" s="472" t="s">
        <v>88</v>
      </c>
      <c r="D96" s="642" t="s">
        <v>128</v>
      </c>
      <c r="E96" s="475">
        <v>1481675</v>
      </c>
      <c r="F96" s="475">
        <v>75290</v>
      </c>
      <c r="G96" s="476"/>
      <c r="H96" s="475">
        <f>I96+L96+M96+O96</f>
        <v>75290</v>
      </c>
      <c r="I96" s="475">
        <v>75290</v>
      </c>
      <c r="J96" s="476"/>
      <c r="K96" s="476"/>
      <c r="L96" s="476"/>
      <c r="M96" s="476"/>
      <c r="N96" s="476"/>
      <c r="O96" s="476"/>
      <c r="P96" s="475">
        <f>Q96</f>
        <v>75943</v>
      </c>
      <c r="Q96" s="475">
        <f>SUM(R96:AA96)</f>
        <v>75943</v>
      </c>
      <c r="R96" s="475">
        <f>41106+20000+9184+5653</f>
        <v>75943</v>
      </c>
      <c r="S96" s="476"/>
      <c r="T96" s="476"/>
      <c r="U96" s="476"/>
      <c r="V96" s="476"/>
      <c r="W96" s="476"/>
      <c r="X96" s="476"/>
      <c r="Y96" s="476"/>
      <c r="Z96" s="476"/>
      <c r="AA96" s="476"/>
      <c r="AB96" s="615" t="s">
        <v>1838</v>
      </c>
    </row>
    <row r="97" spans="1:28" s="478" customFormat="1" ht="108" customHeight="1">
      <c r="A97" s="484">
        <v>2</v>
      </c>
      <c r="B97" s="485" t="s">
        <v>129</v>
      </c>
      <c r="C97" s="472" t="s">
        <v>89</v>
      </c>
      <c r="D97" s="641" t="s">
        <v>130</v>
      </c>
      <c r="E97" s="711">
        <v>5947</v>
      </c>
      <c r="F97" s="711">
        <v>2087</v>
      </c>
      <c r="G97" s="476"/>
      <c r="H97" s="475">
        <f>I97+L97+M97+O97</f>
        <v>2087</v>
      </c>
      <c r="I97" s="475">
        <v>2087</v>
      </c>
      <c r="J97" s="476"/>
      <c r="K97" s="476"/>
      <c r="L97" s="476"/>
      <c r="M97" s="476"/>
      <c r="N97" s="476"/>
      <c r="O97" s="476"/>
      <c r="P97" s="475">
        <f>Q97</f>
        <v>2087</v>
      </c>
      <c r="Q97" s="475">
        <f>SUM(R97:AA97)</f>
        <v>2087</v>
      </c>
      <c r="R97" s="475">
        <f>I97</f>
        <v>2087</v>
      </c>
      <c r="S97" s="476"/>
      <c r="T97" s="476"/>
      <c r="U97" s="476"/>
      <c r="V97" s="476"/>
      <c r="W97" s="476"/>
      <c r="X97" s="476"/>
      <c r="Y97" s="476"/>
      <c r="Z97" s="476"/>
      <c r="AA97" s="476"/>
      <c r="AB97" s="477" t="s">
        <v>1860</v>
      </c>
    </row>
    <row r="98" spans="1:28" s="478" customFormat="1" ht="77.25" customHeight="1">
      <c r="A98" s="484">
        <v>3</v>
      </c>
      <c r="B98" s="485" t="s">
        <v>131</v>
      </c>
      <c r="C98" s="486" t="s">
        <v>88</v>
      </c>
      <c r="D98" s="470" t="s">
        <v>132</v>
      </c>
      <c r="E98" s="475">
        <v>35684</v>
      </c>
      <c r="F98" s="475">
        <v>1931</v>
      </c>
      <c r="G98" s="476"/>
      <c r="H98" s="475">
        <f>I98+L98+M98+O98</f>
        <v>1931</v>
      </c>
      <c r="I98" s="475">
        <v>1931</v>
      </c>
      <c r="J98" s="476"/>
      <c r="K98" s="476"/>
      <c r="L98" s="476"/>
      <c r="M98" s="476"/>
      <c r="N98" s="476"/>
      <c r="O98" s="476"/>
      <c r="P98" s="475"/>
      <c r="Q98" s="475">
        <f>SUM(R98:AA98)</f>
        <v>1931</v>
      </c>
      <c r="R98" s="475">
        <f>I98</f>
        <v>1931</v>
      </c>
      <c r="S98" s="476"/>
      <c r="T98" s="476"/>
      <c r="U98" s="476"/>
      <c r="V98" s="476"/>
      <c r="W98" s="476"/>
      <c r="X98" s="476"/>
      <c r="Y98" s="476"/>
      <c r="Z98" s="476"/>
      <c r="AA98" s="476"/>
      <c r="AB98" s="477" t="s">
        <v>1859</v>
      </c>
    </row>
    <row r="99" spans="1:28" s="698" customFormat="1" ht="77.25" customHeight="1">
      <c r="A99" s="681" t="s">
        <v>30</v>
      </c>
      <c r="B99" s="682" t="s">
        <v>106</v>
      </c>
      <c r="C99" s="712"/>
      <c r="D99" s="623"/>
      <c r="E99" s="619">
        <f>SUM(E100:E103)</f>
        <v>153642</v>
      </c>
      <c r="F99" s="619">
        <f t="shared" ref="F99:Y99" si="53">SUM(F100:F103)</f>
        <v>20000</v>
      </c>
      <c r="G99" s="619"/>
      <c r="H99" s="619">
        <f t="shared" si="53"/>
        <v>20000</v>
      </c>
      <c r="I99" s="619">
        <f t="shared" si="53"/>
        <v>20000</v>
      </c>
      <c r="J99" s="619"/>
      <c r="K99" s="619"/>
      <c r="L99" s="619"/>
      <c r="M99" s="619"/>
      <c r="N99" s="619"/>
      <c r="O99" s="619"/>
      <c r="P99" s="619">
        <f t="shared" si="53"/>
        <v>6355</v>
      </c>
      <c r="Q99" s="619">
        <f t="shared" si="53"/>
        <v>36305</v>
      </c>
      <c r="R99" s="619">
        <f t="shared" si="53"/>
        <v>5005</v>
      </c>
      <c r="S99" s="619"/>
      <c r="T99" s="619"/>
      <c r="U99" s="619"/>
      <c r="V99" s="619"/>
      <c r="W99" s="619"/>
      <c r="X99" s="619"/>
      <c r="Y99" s="619">
        <f t="shared" si="53"/>
        <v>31300</v>
      </c>
      <c r="Z99" s="619"/>
      <c r="AA99" s="619"/>
      <c r="AB99" s="477"/>
    </row>
    <row r="100" spans="1:28" s="478" customFormat="1" ht="168.75" customHeight="1">
      <c r="A100" s="484">
        <v>1</v>
      </c>
      <c r="B100" s="485" t="s">
        <v>935</v>
      </c>
      <c r="C100" s="486" t="s">
        <v>88</v>
      </c>
      <c r="D100" s="470" t="s">
        <v>1148</v>
      </c>
      <c r="E100" s="687">
        <v>70000</v>
      </c>
      <c r="F100" s="687">
        <v>20000</v>
      </c>
      <c r="G100" s="476"/>
      <c r="H100" s="475">
        <f>I100</f>
        <v>20000</v>
      </c>
      <c r="I100" s="475">
        <f>10000+10000</f>
        <v>20000</v>
      </c>
      <c r="J100" s="476"/>
      <c r="K100" s="476"/>
      <c r="L100" s="476"/>
      <c r="M100" s="476"/>
      <c r="N100" s="476"/>
      <c r="O100" s="476"/>
      <c r="P100" s="476">
        <f>Q100</f>
        <v>5005</v>
      </c>
      <c r="Q100" s="475">
        <f>SUM(R100:AA100)</f>
        <v>5005</v>
      </c>
      <c r="R100" s="475">
        <f>5+5000</f>
        <v>5005</v>
      </c>
      <c r="S100" s="476"/>
      <c r="T100" s="476"/>
      <c r="U100" s="476"/>
      <c r="V100" s="476"/>
      <c r="W100" s="476"/>
      <c r="X100" s="476"/>
      <c r="Y100" s="476"/>
      <c r="Z100" s="476"/>
      <c r="AA100" s="476"/>
      <c r="AB100" s="615" t="s">
        <v>1866</v>
      </c>
    </row>
    <row r="101" spans="1:28" s="478" customFormat="1" ht="168.75" customHeight="1">
      <c r="A101" s="484">
        <v>2</v>
      </c>
      <c r="B101" s="471" t="s">
        <v>2210</v>
      </c>
      <c r="C101" s="713" t="s">
        <v>89</v>
      </c>
      <c r="D101" s="641" t="s">
        <v>2211</v>
      </c>
      <c r="E101" s="714">
        <v>39642</v>
      </c>
      <c r="F101" s="713"/>
      <c r="G101" s="713"/>
      <c r="H101" s="713"/>
      <c r="I101" s="713"/>
      <c r="J101" s="713"/>
      <c r="K101" s="713"/>
      <c r="L101" s="713"/>
      <c r="M101" s="713"/>
      <c r="N101" s="713"/>
      <c r="O101" s="713"/>
      <c r="P101" s="713"/>
      <c r="Q101" s="713">
        <f>SUM(R101:AA101)</f>
        <v>950</v>
      </c>
      <c r="R101" s="713"/>
      <c r="S101" s="713"/>
      <c r="T101" s="713"/>
      <c r="U101" s="713"/>
      <c r="V101" s="713"/>
      <c r="W101" s="713"/>
      <c r="X101" s="713"/>
      <c r="Y101" s="687">
        <v>950</v>
      </c>
      <c r="Z101" s="687"/>
      <c r="AA101" s="713"/>
      <c r="AB101" s="615" t="s">
        <v>2320</v>
      </c>
    </row>
    <row r="102" spans="1:28" s="478" customFormat="1" ht="168.75" customHeight="1">
      <c r="A102" s="484">
        <v>3</v>
      </c>
      <c r="B102" s="471" t="s">
        <v>2212</v>
      </c>
      <c r="C102" s="713"/>
      <c r="D102" s="641"/>
      <c r="E102" s="714">
        <v>29000</v>
      </c>
      <c r="F102" s="713"/>
      <c r="G102" s="713"/>
      <c r="H102" s="713"/>
      <c r="I102" s="713"/>
      <c r="J102" s="713"/>
      <c r="K102" s="713"/>
      <c r="L102" s="713"/>
      <c r="M102" s="713"/>
      <c r="N102" s="713"/>
      <c r="O102" s="713"/>
      <c r="P102" s="713"/>
      <c r="Q102" s="715">
        <f>SUM(R102:AA102)</f>
        <v>29000</v>
      </c>
      <c r="R102" s="713"/>
      <c r="S102" s="713"/>
      <c r="T102" s="713"/>
      <c r="U102" s="713"/>
      <c r="V102" s="713"/>
      <c r="W102" s="713"/>
      <c r="X102" s="713"/>
      <c r="Y102" s="687">
        <v>29000</v>
      </c>
      <c r="Z102" s="687"/>
      <c r="AA102" s="713"/>
      <c r="AB102" s="615" t="s">
        <v>2319</v>
      </c>
    </row>
    <row r="103" spans="1:28" s="478" customFormat="1" ht="168.75" customHeight="1">
      <c r="A103" s="484">
        <v>4</v>
      </c>
      <c r="B103" s="485" t="s">
        <v>1152</v>
      </c>
      <c r="C103" s="472" t="s">
        <v>89</v>
      </c>
      <c r="D103" s="642" t="s">
        <v>1834</v>
      </c>
      <c r="E103" s="475">
        <v>15000</v>
      </c>
      <c r="F103" s="687"/>
      <c r="G103" s="476"/>
      <c r="H103" s="475"/>
      <c r="I103" s="475"/>
      <c r="J103" s="476"/>
      <c r="K103" s="476"/>
      <c r="L103" s="476"/>
      <c r="M103" s="476"/>
      <c r="N103" s="476"/>
      <c r="O103" s="476"/>
      <c r="P103" s="476">
        <f>Q103</f>
        <v>1350</v>
      </c>
      <c r="Q103" s="475">
        <f>SUM(R103:AA103)</f>
        <v>1350</v>
      </c>
      <c r="R103" s="475"/>
      <c r="S103" s="476"/>
      <c r="T103" s="476"/>
      <c r="U103" s="476"/>
      <c r="V103" s="476"/>
      <c r="W103" s="476"/>
      <c r="X103" s="476"/>
      <c r="Y103" s="687">
        <v>1350</v>
      </c>
      <c r="Z103" s="687"/>
      <c r="AA103" s="476"/>
      <c r="AB103" s="615" t="s">
        <v>2319</v>
      </c>
    </row>
    <row r="104" spans="1:28" s="698" customFormat="1" ht="81.75" customHeight="1">
      <c r="A104" s="653" t="s">
        <v>133</v>
      </c>
      <c r="B104" s="616" t="s">
        <v>350</v>
      </c>
      <c r="C104" s="696"/>
      <c r="D104" s="681"/>
      <c r="E104" s="619">
        <f>E105</f>
        <v>260590</v>
      </c>
      <c r="F104" s="619"/>
      <c r="G104" s="619"/>
      <c r="H104" s="619"/>
      <c r="I104" s="619"/>
      <c r="J104" s="619"/>
      <c r="K104" s="619"/>
      <c r="L104" s="619"/>
      <c r="M104" s="619"/>
      <c r="N104" s="619"/>
      <c r="O104" s="619"/>
      <c r="P104" s="619">
        <f t="shared" ref="P104" si="54">P105</f>
        <v>33522</v>
      </c>
      <c r="Q104" s="619">
        <f t="shared" ref="Q104:Y104" si="55">Q105</f>
        <v>69522</v>
      </c>
      <c r="R104" s="619"/>
      <c r="S104" s="619"/>
      <c r="T104" s="619"/>
      <c r="U104" s="619"/>
      <c r="V104" s="619"/>
      <c r="W104" s="619"/>
      <c r="X104" s="619"/>
      <c r="Y104" s="619">
        <f t="shared" si="55"/>
        <v>69522</v>
      </c>
      <c r="Z104" s="619"/>
      <c r="AA104" s="619"/>
      <c r="AB104" s="615"/>
    </row>
    <row r="105" spans="1:28" s="698" customFormat="1" ht="74.25" customHeight="1">
      <c r="A105" s="653"/>
      <c r="B105" s="682" t="s">
        <v>106</v>
      </c>
      <c r="C105" s="696"/>
      <c r="D105" s="681"/>
      <c r="E105" s="619">
        <f>SUM(E106:E112)</f>
        <v>260590</v>
      </c>
      <c r="F105" s="619"/>
      <c r="G105" s="619"/>
      <c r="H105" s="619"/>
      <c r="I105" s="619"/>
      <c r="J105" s="619"/>
      <c r="K105" s="619"/>
      <c r="L105" s="619"/>
      <c r="M105" s="619"/>
      <c r="N105" s="619"/>
      <c r="O105" s="619"/>
      <c r="P105" s="619">
        <f t="shared" ref="P105" si="56">SUM(P106:P112)</f>
        <v>33522</v>
      </c>
      <c r="Q105" s="619">
        <f t="shared" ref="Q105:Y105" si="57">SUM(Q106:Q112)</f>
        <v>69522</v>
      </c>
      <c r="R105" s="619"/>
      <c r="S105" s="619"/>
      <c r="T105" s="619"/>
      <c r="U105" s="619"/>
      <c r="V105" s="619"/>
      <c r="W105" s="619"/>
      <c r="X105" s="619"/>
      <c r="Y105" s="619">
        <f t="shared" si="57"/>
        <v>69522</v>
      </c>
      <c r="Z105" s="619"/>
      <c r="AA105" s="619"/>
      <c r="AB105" s="615"/>
    </row>
    <row r="106" spans="1:28" s="478" customFormat="1" ht="119.25" customHeight="1">
      <c r="A106" s="484">
        <v>1</v>
      </c>
      <c r="B106" s="471" t="s">
        <v>369</v>
      </c>
      <c r="C106" s="699" t="s">
        <v>88</v>
      </c>
      <c r="D106" s="716" t="s">
        <v>370</v>
      </c>
      <c r="E106" s="475">
        <v>80000</v>
      </c>
      <c r="F106" s="687"/>
      <c r="G106" s="476"/>
      <c r="H106" s="475"/>
      <c r="I106" s="475"/>
      <c r="J106" s="476"/>
      <c r="K106" s="476"/>
      <c r="L106" s="476"/>
      <c r="M106" s="476"/>
      <c r="N106" s="476"/>
      <c r="O106" s="476"/>
      <c r="P106" s="475">
        <f>Q106</f>
        <v>7000</v>
      </c>
      <c r="Q106" s="475">
        <f>SUM(R106:AA106)</f>
        <v>7000</v>
      </c>
      <c r="R106" s="475"/>
      <c r="S106" s="476"/>
      <c r="T106" s="476"/>
      <c r="U106" s="476"/>
      <c r="V106" s="476"/>
      <c r="W106" s="476"/>
      <c r="X106" s="476"/>
      <c r="Y106" s="687">
        <v>7000</v>
      </c>
      <c r="Z106" s="687"/>
      <c r="AA106" s="476"/>
      <c r="AB106" s="615"/>
    </row>
    <row r="107" spans="1:28" s="478" customFormat="1" ht="86.25" customHeight="1">
      <c r="A107" s="484">
        <v>2</v>
      </c>
      <c r="B107" s="471" t="s">
        <v>390</v>
      </c>
      <c r="C107" s="717" t="s">
        <v>88</v>
      </c>
      <c r="D107" s="716" t="s">
        <v>942</v>
      </c>
      <c r="E107" s="718">
        <v>76590</v>
      </c>
      <c r="F107" s="687"/>
      <c r="G107" s="476"/>
      <c r="H107" s="475"/>
      <c r="I107" s="475"/>
      <c r="J107" s="476"/>
      <c r="K107" s="476"/>
      <c r="L107" s="476"/>
      <c r="M107" s="476"/>
      <c r="N107" s="476"/>
      <c r="O107" s="476"/>
      <c r="P107" s="475">
        <f>Q107</f>
        <v>12000</v>
      </c>
      <c r="Q107" s="475">
        <f>SUM(R107:AA107)</f>
        <v>12000</v>
      </c>
      <c r="R107" s="475"/>
      <c r="S107" s="476"/>
      <c r="T107" s="476"/>
      <c r="U107" s="476"/>
      <c r="V107" s="476"/>
      <c r="W107" s="476"/>
      <c r="X107" s="476"/>
      <c r="Y107" s="687">
        <f>7000+5000</f>
        <v>12000</v>
      </c>
      <c r="Z107" s="687"/>
      <c r="AA107" s="476"/>
      <c r="AB107" s="615"/>
    </row>
    <row r="108" spans="1:28" s="478" customFormat="1" ht="90.75" customHeight="1">
      <c r="A108" s="484">
        <v>3</v>
      </c>
      <c r="B108" s="471" t="s">
        <v>387</v>
      </c>
      <c r="C108" s="717" t="s">
        <v>88</v>
      </c>
      <c r="D108" s="716" t="s">
        <v>1913</v>
      </c>
      <c r="E108" s="718">
        <v>8000</v>
      </c>
      <c r="F108" s="687"/>
      <c r="G108" s="476"/>
      <c r="H108" s="475"/>
      <c r="I108" s="475"/>
      <c r="J108" s="476"/>
      <c r="K108" s="476"/>
      <c r="L108" s="476"/>
      <c r="M108" s="476"/>
      <c r="N108" s="476"/>
      <c r="O108" s="476"/>
      <c r="P108" s="475">
        <f t="shared" ref="P108:P112" si="58">Q108</f>
        <v>4522</v>
      </c>
      <c r="Q108" s="475">
        <f>SUM(R108:AA108)</f>
        <v>4522</v>
      </c>
      <c r="R108" s="475"/>
      <c r="S108" s="476"/>
      <c r="T108" s="476"/>
      <c r="U108" s="476"/>
      <c r="V108" s="476"/>
      <c r="W108" s="476"/>
      <c r="X108" s="476"/>
      <c r="Y108" s="639">
        <v>4522</v>
      </c>
      <c r="Z108" s="639"/>
      <c r="AA108" s="476"/>
      <c r="AB108" s="615"/>
    </row>
    <row r="109" spans="1:28" s="478" customFormat="1" ht="90.75" customHeight="1">
      <c r="A109" s="484">
        <v>4</v>
      </c>
      <c r="B109" s="637" t="s">
        <v>2310</v>
      </c>
      <c r="C109" s="717"/>
      <c r="D109" s="716"/>
      <c r="E109" s="718">
        <v>5000</v>
      </c>
      <c r="F109" s="687"/>
      <c r="G109" s="476"/>
      <c r="H109" s="475"/>
      <c r="I109" s="475"/>
      <c r="J109" s="476"/>
      <c r="K109" s="476"/>
      <c r="L109" s="476"/>
      <c r="M109" s="476"/>
      <c r="N109" s="476"/>
      <c r="O109" s="476"/>
      <c r="P109" s="475"/>
      <c r="Q109" s="475">
        <f>SUM(R109:AA109)</f>
        <v>5000</v>
      </c>
      <c r="R109" s="475"/>
      <c r="S109" s="476"/>
      <c r="T109" s="476"/>
      <c r="U109" s="476"/>
      <c r="V109" s="476"/>
      <c r="W109" s="476"/>
      <c r="X109" s="476"/>
      <c r="Y109" s="719">
        <v>5000</v>
      </c>
      <c r="Z109" s="639"/>
      <c r="AA109" s="476"/>
      <c r="AB109" s="615"/>
    </row>
    <row r="110" spans="1:28" s="478" customFormat="1" ht="90.75" customHeight="1">
      <c r="A110" s="484">
        <v>5</v>
      </c>
      <c r="B110" s="637" t="s">
        <v>2311</v>
      </c>
      <c r="C110" s="717"/>
      <c r="D110" s="716"/>
      <c r="E110" s="718">
        <v>11000</v>
      </c>
      <c r="F110" s="687"/>
      <c r="G110" s="476"/>
      <c r="H110" s="475"/>
      <c r="I110" s="475"/>
      <c r="J110" s="476"/>
      <c r="K110" s="476"/>
      <c r="L110" s="476"/>
      <c r="M110" s="476"/>
      <c r="N110" s="476"/>
      <c r="O110" s="476"/>
      <c r="P110" s="475"/>
      <c r="Q110" s="475">
        <f t="shared" ref="Q110:Q111" si="59">SUM(R110:AA110)</f>
        <v>11000</v>
      </c>
      <c r="R110" s="475"/>
      <c r="S110" s="476"/>
      <c r="T110" s="476"/>
      <c r="U110" s="476"/>
      <c r="V110" s="476"/>
      <c r="W110" s="476"/>
      <c r="X110" s="476"/>
      <c r="Y110" s="719">
        <v>11000</v>
      </c>
      <c r="Z110" s="639"/>
      <c r="AA110" s="476"/>
      <c r="AB110" s="615"/>
    </row>
    <row r="111" spans="1:28" s="478" customFormat="1" ht="90.75" customHeight="1">
      <c r="A111" s="484">
        <v>6</v>
      </c>
      <c r="B111" s="637" t="s">
        <v>2312</v>
      </c>
      <c r="C111" s="717"/>
      <c r="D111" s="716"/>
      <c r="E111" s="718">
        <v>20000</v>
      </c>
      <c r="F111" s="687"/>
      <c r="G111" s="476"/>
      <c r="H111" s="475"/>
      <c r="I111" s="475"/>
      <c r="J111" s="476"/>
      <c r="K111" s="476"/>
      <c r="L111" s="476"/>
      <c r="M111" s="476"/>
      <c r="N111" s="476"/>
      <c r="O111" s="476"/>
      <c r="P111" s="475"/>
      <c r="Q111" s="475">
        <f t="shared" si="59"/>
        <v>20000</v>
      </c>
      <c r="R111" s="475"/>
      <c r="S111" s="476"/>
      <c r="T111" s="476"/>
      <c r="U111" s="476"/>
      <c r="V111" s="476"/>
      <c r="W111" s="476"/>
      <c r="X111" s="476"/>
      <c r="Y111" s="719">
        <v>20000</v>
      </c>
      <c r="Z111" s="639"/>
      <c r="AA111" s="476"/>
      <c r="AB111" s="615"/>
    </row>
    <row r="112" spans="1:28" s="478" customFormat="1" ht="90.75" customHeight="1">
      <c r="A112" s="484">
        <v>7</v>
      </c>
      <c r="B112" s="471" t="s">
        <v>367</v>
      </c>
      <c r="C112" s="699" t="s">
        <v>88</v>
      </c>
      <c r="D112" s="716" t="s">
        <v>368</v>
      </c>
      <c r="E112" s="718">
        <v>60000</v>
      </c>
      <c r="F112" s="687"/>
      <c r="G112" s="476"/>
      <c r="H112" s="475"/>
      <c r="I112" s="475"/>
      <c r="J112" s="476"/>
      <c r="K112" s="476"/>
      <c r="L112" s="476"/>
      <c r="M112" s="476"/>
      <c r="N112" s="476"/>
      <c r="O112" s="476"/>
      <c r="P112" s="475">
        <f t="shared" si="58"/>
        <v>10000</v>
      </c>
      <c r="Q112" s="475">
        <f>SUM(R112:AA112)</f>
        <v>10000</v>
      </c>
      <c r="R112" s="475"/>
      <c r="S112" s="476"/>
      <c r="T112" s="476"/>
      <c r="U112" s="476"/>
      <c r="V112" s="476"/>
      <c r="W112" s="476"/>
      <c r="X112" s="476"/>
      <c r="Y112" s="639">
        <v>10000</v>
      </c>
      <c r="Z112" s="639"/>
      <c r="AA112" s="476"/>
      <c r="AB112" s="615"/>
    </row>
    <row r="113" spans="1:131" s="619" customFormat="1" ht="60.75" customHeight="1">
      <c r="A113" s="615" t="s">
        <v>150</v>
      </c>
      <c r="B113" s="616" t="s">
        <v>1871</v>
      </c>
      <c r="E113" s="619">
        <f>E114+E118</f>
        <v>225169</v>
      </c>
      <c r="F113" s="619">
        <f t="shared" ref="F113" si="60">F114+F118</f>
        <v>109861</v>
      </c>
      <c r="H113" s="619">
        <f>H114+H118</f>
        <v>109861</v>
      </c>
      <c r="I113" s="619">
        <f>I114+I118</f>
        <v>109861</v>
      </c>
      <c r="P113" s="619">
        <f t="shared" ref="P113" si="61">P114+P118</f>
        <v>106312</v>
      </c>
      <c r="Q113" s="619">
        <f t="shared" ref="Q113:R113" si="62">Q114+Q118</f>
        <v>121012</v>
      </c>
      <c r="R113" s="619">
        <f t="shared" si="62"/>
        <v>121012</v>
      </c>
      <c r="AC113" s="720"/>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7"/>
      <c r="AY113" s="707"/>
      <c r="AZ113" s="707"/>
      <c r="BA113" s="707"/>
      <c r="BB113" s="707"/>
      <c r="BC113" s="707"/>
      <c r="BD113" s="707"/>
      <c r="BE113" s="707"/>
      <c r="BF113" s="707"/>
      <c r="BG113" s="707"/>
      <c r="BH113" s="707"/>
      <c r="BI113" s="707"/>
      <c r="BJ113" s="707"/>
      <c r="BK113" s="707"/>
      <c r="BL113" s="707"/>
      <c r="BM113" s="707"/>
      <c r="BN113" s="707"/>
      <c r="BO113" s="707"/>
      <c r="BP113" s="707"/>
      <c r="BQ113" s="707"/>
      <c r="BR113" s="707"/>
      <c r="BS113" s="707"/>
      <c r="BT113" s="707"/>
      <c r="BU113" s="707"/>
      <c r="BV113" s="707"/>
      <c r="BW113" s="707"/>
      <c r="BX113" s="707"/>
      <c r="BY113" s="707"/>
      <c r="BZ113" s="707"/>
      <c r="CA113" s="707"/>
      <c r="CB113" s="707"/>
      <c r="CC113" s="707"/>
      <c r="CD113" s="707"/>
      <c r="CE113" s="707"/>
      <c r="CF113" s="707"/>
      <c r="CG113" s="707"/>
      <c r="CH113" s="707"/>
      <c r="CI113" s="707"/>
      <c r="CJ113" s="707"/>
      <c r="CK113" s="707"/>
      <c r="CL113" s="707"/>
      <c r="CM113" s="707"/>
      <c r="CN113" s="707"/>
      <c r="CO113" s="707"/>
      <c r="CP113" s="707"/>
      <c r="CQ113" s="707"/>
      <c r="CR113" s="707"/>
      <c r="CS113" s="707"/>
      <c r="CT113" s="707"/>
      <c r="CU113" s="707"/>
      <c r="CV113" s="707"/>
      <c r="CW113" s="707"/>
      <c r="CX113" s="707"/>
      <c r="CY113" s="707"/>
      <c r="CZ113" s="707"/>
      <c r="DA113" s="707"/>
      <c r="DB113" s="707"/>
      <c r="DC113" s="707"/>
      <c r="DD113" s="707"/>
      <c r="DE113" s="707"/>
      <c r="DF113" s="707"/>
      <c r="DG113" s="707"/>
      <c r="DH113" s="707"/>
      <c r="DI113" s="707"/>
      <c r="DJ113" s="707"/>
      <c r="DK113" s="707"/>
      <c r="DL113" s="707"/>
      <c r="DM113" s="707"/>
      <c r="DN113" s="707"/>
      <c r="DO113" s="707"/>
      <c r="DP113" s="707"/>
      <c r="DQ113" s="707"/>
      <c r="DR113" s="707"/>
      <c r="DS113" s="707"/>
      <c r="DT113" s="707"/>
      <c r="DU113" s="707"/>
      <c r="DV113" s="707"/>
      <c r="DW113" s="707"/>
      <c r="DX113" s="707"/>
      <c r="DY113" s="707"/>
      <c r="DZ113" s="707"/>
      <c r="EA113" s="707"/>
    </row>
    <row r="114" spans="1:131" ht="87.75" customHeight="1">
      <c r="A114" s="681" t="s">
        <v>28</v>
      </c>
      <c r="B114" s="682" t="s">
        <v>97</v>
      </c>
      <c r="C114" s="682"/>
      <c r="D114" s="470"/>
      <c r="E114" s="621">
        <f>E115</f>
        <v>55976</v>
      </c>
      <c r="F114" s="621">
        <f t="shared" ref="F114" si="63">F115</f>
        <v>12457</v>
      </c>
      <c r="G114" s="621"/>
      <c r="H114" s="621">
        <f>H115</f>
        <v>12457</v>
      </c>
      <c r="I114" s="621">
        <f>I115</f>
        <v>12457</v>
      </c>
      <c r="J114" s="621"/>
      <c r="K114" s="621"/>
      <c r="L114" s="621"/>
      <c r="M114" s="621"/>
      <c r="N114" s="621"/>
      <c r="O114" s="621"/>
      <c r="P114" s="621">
        <f t="shared" ref="P114" si="64">P115</f>
        <v>12457</v>
      </c>
      <c r="Q114" s="621">
        <f t="shared" ref="Q114:R114" si="65">Q115</f>
        <v>12457</v>
      </c>
      <c r="R114" s="621">
        <f t="shared" si="65"/>
        <v>12457</v>
      </c>
      <c r="S114" s="621"/>
      <c r="T114" s="621"/>
      <c r="U114" s="621"/>
      <c r="V114" s="621"/>
      <c r="W114" s="621"/>
      <c r="X114" s="621"/>
      <c r="Y114" s="621"/>
      <c r="Z114" s="621"/>
      <c r="AA114" s="621"/>
      <c r="AB114" s="623"/>
    </row>
    <row r="115" spans="1:131" s="478" customFormat="1" ht="66" customHeight="1">
      <c r="A115" s="683" t="s">
        <v>98</v>
      </c>
      <c r="B115" s="684" t="s">
        <v>99</v>
      </c>
      <c r="C115" s="684"/>
      <c r="D115" s="476"/>
      <c r="E115" s="627">
        <f>SUM(E116:E117)</f>
        <v>55976</v>
      </c>
      <c r="F115" s="627">
        <f t="shared" ref="F115" si="66">SUM(F116:F117)</f>
        <v>12457</v>
      </c>
      <c r="G115" s="627"/>
      <c r="H115" s="627">
        <f>SUM(H116:H117)</f>
        <v>12457</v>
      </c>
      <c r="I115" s="627">
        <f>SUM(I116:I117)</f>
        <v>12457</v>
      </c>
      <c r="J115" s="627"/>
      <c r="K115" s="627"/>
      <c r="L115" s="627"/>
      <c r="M115" s="627"/>
      <c r="N115" s="627"/>
      <c r="O115" s="627"/>
      <c r="P115" s="627">
        <f t="shared" ref="P115" si="67">SUM(P116:P117)</f>
        <v>12457</v>
      </c>
      <c r="Q115" s="627">
        <f t="shared" ref="Q115:R115" si="68">SUM(Q116:Q117)</f>
        <v>12457</v>
      </c>
      <c r="R115" s="627">
        <f t="shared" si="68"/>
        <v>12457</v>
      </c>
      <c r="S115" s="627"/>
      <c r="T115" s="627"/>
      <c r="U115" s="627"/>
      <c r="V115" s="627"/>
      <c r="W115" s="627"/>
      <c r="X115" s="627"/>
      <c r="Y115" s="627"/>
      <c r="Z115" s="627"/>
      <c r="AA115" s="627"/>
      <c r="AB115" s="608"/>
    </row>
    <row r="116" spans="1:131" s="478" customFormat="1" ht="87.75" customHeight="1">
      <c r="A116" s="642" t="s">
        <v>28</v>
      </c>
      <c r="B116" s="471" t="s">
        <v>134</v>
      </c>
      <c r="C116" s="470" t="s">
        <v>89</v>
      </c>
      <c r="D116" s="642" t="s">
        <v>2148</v>
      </c>
      <c r="E116" s="721">
        <v>31592</v>
      </c>
      <c r="F116" s="711">
        <v>4757</v>
      </c>
      <c r="G116" s="476"/>
      <c r="H116" s="475">
        <f>I116+L116+M116+O116</f>
        <v>4757</v>
      </c>
      <c r="I116" s="475">
        <v>4757</v>
      </c>
      <c r="J116" s="644"/>
      <c r="K116" s="644"/>
      <c r="L116" s="644"/>
      <c r="M116" s="644"/>
      <c r="N116" s="644"/>
      <c r="O116" s="644"/>
      <c r="P116" s="644">
        <f>Q116</f>
        <v>4757</v>
      </c>
      <c r="Q116" s="475">
        <f>SUM(R116:AA116)</f>
        <v>4757</v>
      </c>
      <c r="R116" s="475">
        <f>I116</f>
        <v>4757</v>
      </c>
      <c r="S116" s="644"/>
      <c r="T116" s="644"/>
      <c r="U116" s="644"/>
      <c r="V116" s="644"/>
      <c r="W116" s="644"/>
      <c r="X116" s="644"/>
      <c r="Y116" s="644"/>
      <c r="Z116" s="644"/>
      <c r="AA116" s="644"/>
      <c r="AB116" s="615"/>
    </row>
    <row r="117" spans="1:131" s="478" customFormat="1" ht="65.25" customHeight="1">
      <c r="A117" s="642" t="s">
        <v>30</v>
      </c>
      <c r="B117" s="722" t="s">
        <v>135</v>
      </c>
      <c r="C117" s="470" t="s">
        <v>89</v>
      </c>
      <c r="D117" s="642" t="s">
        <v>2149</v>
      </c>
      <c r="E117" s="721">
        <v>24384</v>
      </c>
      <c r="F117" s="721">
        <v>7700</v>
      </c>
      <c r="G117" s="476"/>
      <c r="H117" s="475">
        <f>I117+L117+M117+O117</f>
        <v>7700</v>
      </c>
      <c r="I117" s="475">
        <v>7700</v>
      </c>
      <c r="J117" s="644"/>
      <c r="K117" s="644"/>
      <c r="L117" s="644"/>
      <c r="M117" s="644"/>
      <c r="N117" s="644"/>
      <c r="O117" s="644"/>
      <c r="P117" s="644">
        <f>Q117</f>
        <v>7700</v>
      </c>
      <c r="Q117" s="475">
        <f>SUM(R117:AA117)</f>
        <v>7700</v>
      </c>
      <c r="R117" s="475">
        <f>I117</f>
        <v>7700</v>
      </c>
      <c r="S117" s="644"/>
      <c r="T117" s="644"/>
      <c r="U117" s="644"/>
      <c r="V117" s="644"/>
      <c r="W117" s="644"/>
      <c r="X117" s="644"/>
      <c r="Y117" s="644"/>
      <c r="Z117" s="644"/>
      <c r="AA117" s="644"/>
      <c r="AB117" s="608"/>
    </row>
    <row r="118" spans="1:131" ht="84" customHeight="1">
      <c r="A118" s="681" t="s">
        <v>30</v>
      </c>
      <c r="B118" s="682" t="s">
        <v>106</v>
      </c>
      <c r="C118" s="682"/>
      <c r="D118" s="470"/>
      <c r="E118" s="621">
        <f>SUM(E119:E130)</f>
        <v>169193</v>
      </c>
      <c r="F118" s="621">
        <f t="shared" ref="F118:R118" si="69">SUM(F119:F130)</f>
        <v>97404</v>
      </c>
      <c r="G118" s="621">
        <f t="shared" si="69"/>
        <v>0</v>
      </c>
      <c r="H118" s="621">
        <f t="shared" si="69"/>
        <v>97404</v>
      </c>
      <c r="I118" s="621">
        <f t="shared" si="69"/>
        <v>97404</v>
      </c>
      <c r="J118" s="621"/>
      <c r="K118" s="621"/>
      <c r="L118" s="621"/>
      <c r="M118" s="621"/>
      <c r="N118" s="621"/>
      <c r="O118" s="621"/>
      <c r="P118" s="621">
        <f t="shared" si="69"/>
        <v>93855</v>
      </c>
      <c r="Q118" s="621">
        <f t="shared" si="69"/>
        <v>108555</v>
      </c>
      <c r="R118" s="621">
        <f t="shared" si="69"/>
        <v>108555</v>
      </c>
      <c r="S118" s="621"/>
      <c r="T118" s="621"/>
      <c r="U118" s="621"/>
      <c r="V118" s="621"/>
      <c r="W118" s="621"/>
      <c r="X118" s="621"/>
      <c r="Y118" s="621"/>
      <c r="Z118" s="621"/>
      <c r="AA118" s="621"/>
      <c r="AB118" s="623"/>
    </row>
    <row r="119" spans="1:131" s="478" customFormat="1" ht="72.75" customHeight="1">
      <c r="A119" s="642" t="s">
        <v>28</v>
      </c>
      <c r="B119" s="471" t="s">
        <v>136</v>
      </c>
      <c r="C119" s="470" t="s">
        <v>89</v>
      </c>
      <c r="D119" s="717" t="s">
        <v>137</v>
      </c>
      <c r="E119" s="718">
        <f t="shared" ref="E119:E130" si="70">F119</f>
        <v>14000</v>
      </c>
      <c r="F119" s="718">
        <v>14000</v>
      </c>
      <c r="G119" s="627"/>
      <c r="H119" s="475">
        <f t="shared" ref="H119:H130" si="71">I119+L119+M119+O119</f>
        <v>14000</v>
      </c>
      <c r="I119" s="475">
        <v>14000</v>
      </c>
      <c r="J119" s="627"/>
      <c r="K119" s="627"/>
      <c r="L119" s="627"/>
      <c r="M119" s="627"/>
      <c r="N119" s="627"/>
      <c r="O119" s="627"/>
      <c r="P119" s="475">
        <f>50+3000+10783</f>
        <v>13833</v>
      </c>
      <c r="Q119" s="475">
        <f>SUM(R119:AA119)</f>
        <v>13833</v>
      </c>
      <c r="R119" s="475">
        <f>P119</f>
        <v>13833</v>
      </c>
      <c r="S119" s="627"/>
      <c r="T119" s="627"/>
      <c r="U119" s="627"/>
      <c r="V119" s="627"/>
      <c r="W119" s="627"/>
      <c r="X119" s="627"/>
      <c r="Y119" s="627"/>
      <c r="Z119" s="627"/>
      <c r="AA119" s="627"/>
      <c r="AB119" s="608"/>
      <c r="AC119" s="1214"/>
    </row>
    <row r="120" spans="1:131" s="478" customFormat="1" ht="72.75" customHeight="1">
      <c r="A120" s="642" t="s">
        <v>30</v>
      </c>
      <c r="B120" s="723" t="s">
        <v>2230</v>
      </c>
      <c r="C120" s="470"/>
      <c r="D120" s="717"/>
      <c r="E120" s="687">
        <v>3000</v>
      </c>
      <c r="F120" s="718"/>
      <c r="G120" s="627"/>
      <c r="H120" s="475"/>
      <c r="I120" s="475"/>
      <c r="J120" s="627"/>
      <c r="K120" s="627"/>
      <c r="L120" s="627"/>
      <c r="M120" s="627"/>
      <c r="N120" s="627"/>
      <c r="O120" s="627"/>
      <c r="P120" s="475"/>
      <c r="Q120" s="475">
        <f>R120+V120+W120+X120+Y120+AA120</f>
        <v>3000</v>
      </c>
      <c r="R120" s="687">
        <v>3000</v>
      </c>
      <c r="S120" s="627"/>
      <c r="T120" s="627"/>
      <c r="U120" s="627"/>
      <c r="V120" s="627"/>
      <c r="W120" s="627"/>
      <c r="X120" s="627"/>
      <c r="Y120" s="627"/>
      <c r="Z120" s="627"/>
      <c r="AA120" s="627"/>
      <c r="AB120" s="608"/>
      <c r="AC120" s="1214"/>
    </row>
    <row r="121" spans="1:131" s="478" customFormat="1" ht="72.75" customHeight="1">
      <c r="A121" s="642" t="s">
        <v>32</v>
      </c>
      <c r="B121" s="471" t="s">
        <v>1840</v>
      </c>
      <c r="C121" s="470"/>
      <c r="D121" s="717"/>
      <c r="E121" s="687">
        <v>14000</v>
      </c>
      <c r="F121" s="718"/>
      <c r="G121" s="627"/>
      <c r="H121" s="475"/>
      <c r="I121" s="475"/>
      <c r="J121" s="627"/>
      <c r="K121" s="627"/>
      <c r="L121" s="627"/>
      <c r="M121" s="627"/>
      <c r="N121" s="627"/>
      <c r="O121" s="627"/>
      <c r="P121" s="475">
        <v>100</v>
      </c>
      <c r="Q121" s="475">
        <f t="shared" ref="Q121:Q130" si="72">R121+V121+W121+X121+Y121+AA121</f>
        <v>3000</v>
      </c>
      <c r="R121" s="687">
        <f>3000</f>
        <v>3000</v>
      </c>
      <c r="S121" s="627"/>
      <c r="T121" s="627"/>
      <c r="U121" s="627"/>
      <c r="V121" s="627"/>
      <c r="W121" s="627"/>
      <c r="X121" s="627"/>
      <c r="Y121" s="627"/>
      <c r="Z121" s="627"/>
      <c r="AA121" s="627"/>
      <c r="AB121" s="608"/>
      <c r="AC121" s="1214"/>
    </row>
    <row r="122" spans="1:131" s="478" customFormat="1" ht="72.75" customHeight="1">
      <c r="A122" s="642" t="s">
        <v>34</v>
      </c>
      <c r="B122" s="471" t="s">
        <v>2231</v>
      </c>
      <c r="C122" s="470"/>
      <c r="D122" s="717"/>
      <c r="E122" s="687">
        <v>17000</v>
      </c>
      <c r="F122" s="718"/>
      <c r="G122" s="627"/>
      <c r="H122" s="475"/>
      <c r="I122" s="475"/>
      <c r="J122" s="627"/>
      <c r="K122" s="627"/>
      <c r="L122" s="627"/>
      <c r="M122" s="627"/>
      <c r="N122" s="627"/>
      <c r="O122" s="627"/>
      <c r="P122" s="475">
        <v>100</v>
      </c>
      <c r="Q122" s="475">
        <f t="shared" si="72"/>
        <v>3000</v>
      </c>
      <c r="R122" s="687">
        <f>3000</f>
        <v>3000</v>
      </c>
      <c r="S122" s="627"/>
      <c r="T122" s="627"/>
      <c r="U122" s="627"/>
      <c r="V122" s="627"/>
      <c r="W122" s="627"/>
      <c r="X122" s="627"/>
      <c r="Y122" s="627"/>
      <c r="Z122" s="627"/>
      <c r="AA122" s="627"/>
      <c r="AB122" s="608"/>
      <c r="AC122" s="1214"/>
    </row>
    <row r="123" spans="1:131" s="478" customFormat="1" ht="72.75" customHeight="1">
      <c r="A123" s="642" t="s">
        <v>36</v>
      </c>
      <c r="B123" s="471" t="s">
        <v>2232</v>
      </c>
      <c r="C123" s="470"/>
      <c r="D123" s="717"/>
      <c r="E123" s="687">
        <v>17000</v>
      </c>
      <c r="F123" s="718"/>
      <c r="G123" s="627"/>
      <c r="H123" s="475"/>
      <c r="I123" s="475"/>
      <c r="J123" s="627"/>
      <c r="K123" s="627"/>
      <c r="L123" s="627"/>
      <c r="M123" s="627"/>
      <c r="N123" s="627"/>
      <c r="O123" s="627"/>
      <c r="P123" s="475">
        <v>50</v>
      </c>
      <c r="Q123" s="475">
        <f t="shared" si="72"/>
        <v>3000</v>
      </c>
      <c r="R123" s="687">
        <f>3000</f>
        <v>3000</v>
      </c>
      <c r="S123" s="627"/>
      <c r="T123" s="627"/>
      <c r="U123" s="627"/>
      <c r="V123" s="627"/>
      <c r="W123" s="627"/>
      <c r="X123" s="627"/>
      <c r="Y123" s="627"/>
      <c r="Z123" s="627"/>
      <c r="AA123" s="627"/>
      <c r="AB123" s="608"/>
      <c r="AC123" s="1214"/>
    </row>
    <row r="124" spans="1:131" s="478" customFormat="1" ht="72.75" customHeight="1">
      <c r="A124" s="642" t="s">
        <v>38</v>
      </c>
      <c r="B124" s="724" t="s">
        <v>2233</v>
      </c>
      <c r="C124" s="470"/>
      <c r="D124" s="717"/>
      <c r="E124" s="687">
        <v>20000</v>
      </c>
      <c r="F124" s="718"/>
      <c r="G124" s="627"/>
      <c r="H124" s="475"/>
      <c r="I124" s="475"/>
      <c r="J124" s="627"/>
      <c r="K124" s="627"/>
      <c r="L124" s="627"/>
      <c r="M124" s="627"/>
      <c r="N124" s="627"/>
      <c r="O124" s="627"/>
      <c r="P124" s="475">
        <v>50</v>
      </c>
      <c r="Q124" s="475">
        <f t="shared" si="72"/>
        <v>3000</v>
      </c>
      <c r="R124" s="687">
        <f>3000</f>
        <v>3000</v>
      </c>
      <c r="S124" s="627"/>
      <c r="T124" s="627"/>
      <c r="U124" s="627"/>
      <c r="V124" s="627"/>
      <c r="W124" s="627"/>
      <c r="X124" s="627"/>
      <c r="Y124" s="627"/>
      <c r="Z124" s="627"/>
      <c r="AA124" s="627"/>
      <c r="AB124" s="608"/>
      <c r="AC124" s="1214"/>
    </row>
    <row r="125" spans="1:131" s="478" customFormat="1" ht="78.75" customHeight="1">
      <c r="A125" s="642" t="s">
        <v>40</v>
      </c>
      <c r="B125" s="725" t="s">
        <v>138</v>
      </c>
      <c r="C125" s="470" t="s">
        <v>89</v>
      </c>
      <c r="D125" s="717" t="s">
        <v>139</v>
      </c>
      <c r="E125" s="718">
        <f t="shared" si="70"/>
        <v>14000</v>
      </c>
      <c r="F125" s="718">
        <v>14000</v>
      </c>
      <c r="G125" s="627"/>
      <c r="H125" s="475">
        <f t="shared" si="71"/>
        <v>14000</v>
      </c>
      <c r="I125" s="475">
        <v>14000</v>
      </c>
      <c r="J125" s="627"/>
      <c r="K125" s="627"/>
      <c r="L125" s="627"/>
      <c r="M125" s="627"/>
      <c r="N125" s="627"/>
      <c r="O125" s="627"/>
      <c r="P125" s="475">
        <f>4404+9576</f>
        <v>13980</v>
      </c>
      <c r="Q125" s="475">
        <f t="shared" si="72"/>
        <v>13980</v>
      </c>
      <c r="R125" s="475">
        <f>P125</f>
        <v>13980</v>
      </c>
      <c r="S125" s="627"/>
      <c r="T125" s="627"/>
      <c r="U125" s="627"/>
      <c r="V125" s="627"/>
      <c r="W125" s="627"/>
      <c r="X125" s="627"/>
      <c r="Y125" s="627"/>
      <c r="Z125" s="627"/>
      <c r="AA125" s="627"/>
      <c r="AB125" s="608"/>
      <c r="AC125" s="1214"/>
    </row>
    <row r="126" spans="1:131" s="478" customFormat="1" ht="67.5" customHeight="1">
      <c r="A126" s="642" t="s">
        <v>42</v>
      </c>
      <c r="B126" s="725" t="s">
        <v>140</v>
      </c>
      <c r="C126" s="470" t="s">
        <v>89</v>
      </c>
      <c r="D126" s="717" t="s">
        <v>141</v>
      </c>
      <c r="E126" s="718">
        <f t="shared" si="70"/>
        <v>14000</v>
      </c>
      <c r="F126" s="718">
        <v>14000</v>
      </c>
      <c r="G126" s="476"/>
      <c r="H126" s="475">
        <f t="shared" si="71"/>
        <v>14000</v>
      </c>
      <c r="I126" s="475">
        <v>14000</v>
      </c>
      <c r="J126" s="476"/>
      <c r="K126" s="476"/>
      <c r="L126" s="476"/>
      <c r="M126" s="476"/>
      <c r="N126" s="476"/>
      <c r="O126" s="476"/>
      <c r="P126" s="475">
        <f>3000+5050+5276</f>
        <v>13326</v>
      </c>
      <c r="Q126" s="475">
        <f t="shared" si="72"/>
        <v>13326</v>
      </c>
      <c r="R126" s="475">
        <f>P126</f>
        <v>13326</v>
      </c>
      <c r="S126" s="476"/>
      <c r="T126" s="476"/>
      <c r="U126" s="476"/>
      <c r="V126" s="476"/>
      <c r="W126" s="476"/>
      <c r="X126" s="476"/>
      <c r="Y126" s="476"/>
      <c r="Z126" s="476"/>
      <c r="AA126" s="476"/>
      <c r="AB126" s="615" t="s">
        <v>1853</v>
      </c>
      <c r="AC126" s="1214"/>
    </row>
    <row r="127" spans="1:131" s="478" customFormat="1" ht="67.5" customHeight="1">
      <c r="A127" s="642" t="s">
        <v>44</v>
      </c>
      <c r="B127" s="726" t="s">
        <v>142</v>
      </c>
      <c r="C127" s="470" t="s">
        <v>89</v>
      </c>
      <c r="D127" s="717" t="s">
        <v>143</v>
      </c>
      <c r="E127" s="718">
        <f t="shared" si="70"/>
        <v>14000</v>
      </c>
      <c r="F127" s="718">
        <v>14000</v>
      </c>
      <c r="G127" s="476"/>
      <c r="H127" s="475">
        <f t="shared" si="71"/>
        <v>14000</v>
      </c>
      <c r="I127" s="475">
        <v>14000</v>
      </c>
      <c r="J127" s="476"/>
      <c r="K127" s="476"/>
      <c r="L127" s="476"/>
      <c r="M127" s="476"/>
      <c r="N127" s="476"/>
      <c r="O127" s="476"/>
      <c r="P127" s="475">
        <f>3000+4000+6410</f>
        <v>13410</v>
      </c>
      <c r="Q127" s="475">
        <f t="shared" si="72"/>
        <v>13410</v>
      </c>
      <c r="R127" s="475">
        <f>P127</f>
        <v>13410</v>
      </c>
      <c r="S127" s="476"/>
      <c r="T127" s="476"/>
      <c r="U127" s="476"/>
      <c r="V127" s="476"/>
      <c r="W127" s="476"/>
      <c r="X127" s="476"/>
      <c r="Y127" s="476"/>
      <c r="Z127" s="476"/>
      <c r="AA127" s="476"/>
      <c r="AB127" s="615" t="s">
        <v>1853</v>
      </c>
      <c r="AC127" s="1214"/>
    </row>
    <row r="128" spans="1:131" s="478" customFormat="1" ht="72.75" customHeight="1">
      <c r="A128" s="642" t="s">
        <v>46</v>
      </c>
      <c r="B128" s="727" t="s">
        <v>144</v>
      </c>
      <c r="C128" s="470" t="s">
        <v>89</v>
      </c>
      <c r="D128" s="717" t="s">
        <v>145</v>
      </c>
      <c r="E128" s="718">
        <v>14000</v>
      </c>
      <c r="F128" s="687">
        <f>E128</f>
        <v>14000</v>
      </c>
      <c r="G128" s="476"/>
      <c r="H128" s="475">
        <f t="shared" si="71"/>
        <v>14000</v>
      </c>
      <c r="I128" s="475">
        <v>14000</v>
      </c>
      <c r="J128" s="476"/>
      <c r="K128" s="476"/>
      <c r="L128" s="476"/>
      <c r="M128" s="476"/>
      <c r="N128" s="476"/>
      <c r="O128" s="476"/>
      <c r="P128" s="475">
        <f>3000+4000+6669</f>
        <v>13669</v>
      </c>
      <c r="Q128" s="475">
        <f t="shared" si="72"/>
        <v>13669</v>
      </c>
      <c r="R128" s="475">
        <f>P128</f>
        <v>13669</v>
      </c>
      <c r="S128" s="476"/>
      <c r="T128" s="476"/>
      <c r="U128" s="476"/>
      <c r="V128" s="476"/>
      <c r="W128" s="476"/>
      <c r="X128" s="476"/>
      <c r="Y128" s="476"/>
      <c r="Z128" s="476"/>
      <c r="AA128" s="476"/>
      <c r="AB128" s="615" t="s">
        <v>1853</v>
      </c>
      <c r="AC128" s="1214"/>
    </row>
    <row r="129" spans="1:28" s="478" customFormat="1" ht="65.25" customHeight="1">
      <c r="A129" s="642" t="s">
        <v>48</v>
      </c>
      <c r="B129" s="726" t="s">
        <v>146</v>
      </c>
      <c r="C129" s="470" t="s">
        <v>89</v>
      </c>
      <c r="D129" s="717" t="s">
        <v>147</v>
      </c>
      <c r="E129" s="718">
        <v>5016</v>
      </c>
      <c r="F129" s="687">
        <v>4227</v>
      </c>
      <c r="G129" s="476"/>
      <c r="H129" s="475">
        <f t="shared" si="71"/>
        <v>4227</v>
      </c>
      <c r="I129" s="475">
        <v>4227</v>
      </c>
      <c r="J129" s="476"/>
      <c r="K129" s="476"/>
      <c r="L129" s="476"/>
      <c r="M129" s="476"/>
      <c r="N129" s="476"/>
      <c r="O129" s="476"/>
      <c r="P129" s="475">
        <f>Q129</f>
        <v>4227</v>
      </c>
      <c r="Q129" s="475">
        <f t="shared" si="72"/>
        <v>4227</v>
      </c>
      <c r="R129" s="475">
        <f>I129</f>
        <v>4227</v>
      </c>
      <c r="S129" s="476"/>
      <c r="T129" s="476"/>
      <c r="U129" s="476"/>
      <c r="V129" s="476"/>
      <c r="W129" s="476"/>
      <c r="X129" s="476"/>
      <c r="Y129" s="476"/>
      <c r="Z129" s="476"/>
      <c r="AA129" s="476"/>
      <c r="AB129" s="615" t="s">
        <v>1853</v>
      </c>
    </row>
    <row r="130" spans="1:28" s="478" customFormat="1" ht="65.25" customHeight="1">
      <c r="A130" s="642" t="s">
        <v>50</v>
      </c>
      <c r="B130" s="726" t="s">
        <v>148</v>
      </c>
      <c r="C130" s="470" t="s">
        <v>89</v>
      </c>
      <c r="D130" s="717" t="s">
        <v>149</v>
      </c>
      <c r="E130" s="718">
        <f t="shared" si="70"/>
        <v>23177</v>
      </c>
      <c r="F130" s="687">
        <v>23177</v>
      </c>
      <c r="G130" s="476"/>
      <c r="H130" s="475">
        <f t="shared" si="71"/>
        <v>23177</v>
      </c>
      <c r="I130" s="475">
        <f>23000-323+500</f>
        <v>23177</v>
      </c>
      <c r="J130" s="476"/>
      <c r="K130" s="476"/>
      <c r="L130" s="476"/>
      <c r="M130" s="476"/>
      <c r="N130" s="476"/>
      <c r="O130" s="476"/>
      <c r="P130" s="475">
        <f>3000+5993+12117</f>
        <v>21110</v>
      </c>
      <c r="Q130" s="475">
        <f t="shared" si="72"/>
        <v>21110</v>
      </c>
      <c r="R130" s="475">
        <f>P130</f>
        <v>21110</v>
      </c>
      <c r="S130" s="476"/>
      <c r="T130" s="476"/>
      <c r="U130" s="476"/>
      <c r="V130" s="476"/>
      <c r="W130" s="476"/>
      <c r="X130" s="476"/>
      <c r="Y130" s="476"/>
      <c r="Z130" s="476"/>
      <c r="AA130" s="476"/>
      <c r="AB130" s="615" t="s">
        <v>1853</v>
      </c>
    </row>
    <row r="131" spans="1:28" s="478" customFormat="1" ht="77.25" customHeight="1">
      <c r="A131" s="623" t="s">
        <v>150</v>
      </c>
      <c r="B131" s="636" t="s">
        <v>1872</v>
      </c>
      <c r="C131" s="636"/>
      <c r="D131" s="476"/>
      <c r="E131" s="619">
        <f>E132+E135</f>
        <v>262623</v>
      </c>
      <c r="F131" s="619">
        <f t="shared" ref="F131" si="73">F132+F135</f>
        <v>226609</v>
      </c>
      <c r="G131" s="619"/>
      <c r="H131" s="619">
        <f>H132+H135</f>
        <v>157843</v>
      </c>
      <c r="I131" s="619">
        <f>I132+I135</f>
        <v>157843</v>
      </c>
      <c r="J131" s="619"/>
      <c r="K131" s="619"/>
      <c r="L131" s="619"/>
      <c r="M131" s="619"/>
      <c r="N131" s="619"/>
      <c r="O131" s="619"/>
      <c r="P131" s="619">
        <f t="shared" ref="P131:W131" si="74">P132+P135</f>
        <v>151566</v>
      </c>
      <c r="Q131" s="619">
        <f t="shared" si="74"/>
        <v>173168</v>
      </c>
      <c r="R131" s="619">
        <f t="shared" si="74"/>
        <v>138168</v>
      </c>
      <c r="S131" s="619"/>
      <c r="T131" s="619"/>
      <c r="U131" s="619"/>
      <c r="V131" s="619"/>
      <c r="W131" s="619">
        <f t="shared" si="74"/>
        <v>20000</v>
      </c>
      <c r="X131" s="619"/>
      <c r="Y131" s="619">
        <f t="shared" ref="Y131" si="75">Y132+Y135</f>
        <v>15000</v>
      </c>
      <c r="Z131" s="619"/>
      <c r="AA131" s="619"/>
      <c r="AB131" s="608"/>
    </row>
    <row r="132" spans="1:28" ht="65.25" customHeight="1">
      <c r="A132" s="681" t="s">
        <v>28</v>
      </c>
      <c r="B132" s="682" t="s">
        <v>97</v>
      </c>
      <c r="C132" s="682"/>
      <c r="D132" s="470"/>
      <c r="E132" s="621">
        <f>E133</f>
        <v>4027</v>
      </c>
      <c r="F132" s="621">
        <f t="shared" ref="F132" si="76">F133</f>
        <v>4027</v>
      </c>
      <c r="G132" s="621"/>
      <c r="H132" s="621">
        <f>H133</f>
        <v>4027</v>
      </c>
      <c r="I132" s="621">
        <f>I133</f>
        <v>4027</v>
      </c>
      <c r="J132" s="621"/>
      <c r="K132" s="621"/>
      <c r="L132" s="621"/>
      <c r="M132" s="621"/>
      <c r="N132" s="621"/>
      <c r="O132" s="621"/>
      <c r="P132" s="621">
        <f t="shared" ref="P132:R132" si="77">P133</f>
        <v>4027</v>
      </c>
      <c r="Q132" s="621">
        <f t="shared" si="77"/>
        <v>4027</v>
      </c>
      <c r="R132" s="621">
        <f t="shared" si="77"/>
        <v>4027</v>
      </c>
      <c r="S132" s="621"/>
      <c r="T132" s="621"/>
      <c r="U132" s="621"/>
      <c r="V132" s="621"/>
      <c r="W132" s="621"/>
      <c r="X132" s="621"/>
      <c r="Y132" s="621"/>
      <c r="Z132" s="621"/>
      <c r="AA132" s="621"/>
      <c r="AB132" s="623"/>
    </row>
    <row r="133" spans="1:28" s="478" customFormat="1" ht="66" customHeight="1">
      <c r="A133" s="683" t="s">
        <v>98</v>
      </c>
      <c r="B133" s="684" t="s">
        <v>99</v>
      </c>
      <c r="C133" s="684"/>
      <c r="D133" s="476"/>
      <c r="E133" s="627">
        <f>SUM(E134:E134)</f>
        <v>4027</v>
      </c>
      <c r="F133" s="627">
        <f t="shared" ref="F133" si="78">SUM(F134:F134)</f>
        <v>4027</v>
      </c>
      <c r="G133" s="627"/>
      <c r="H133" s="627">
        <f>SUM(H134:H134)</f>
        <v>4027</v>
      </c>
      <c r="I133" s="627">
        <f>SUM(I134:I134)</f>
        <v>4027</v>
      </c>
      <c r="J133" s="627"/>
      <c r="K133" s="627"/>
      <c r="L133" s="627"/>
      <c r="M133" s="627"/>
      <c r="N133" s="627"/>
      <c r="O133" s="627"/>
      <c r="P133" s="627">
        <f t="shared" ref="P133:R133" si="79">SUM(P134:P134)</f>
        <v>4027</v>
      </c>
      <c r="Q133" s="627">
        <f t="shared" si="79"/>
        <v>4027</v>
      </c>
      <c r="R133" s="627">
        <f t="shared" si="79"/>
        <v>4027</v>
      </c>
      <c r="S133" s="627"/>
      <c r="T133" s="627"/>
      <c r="U133" s="627"/>
      <c r="V133" s="627"/>
      <c r="W133" s="627"/>
      <c r="X133" s="627"/>
      <c r="Y133" s="627"/>
      <c r="Z133" s="627"/>
      <c r="AA133" s="627"/>
      <c r="AB133" s="608"/>
    </row>
    <row r="134" spans="1:28" s="478" customFormat="1" ht="90" customHeight="1">
      <c r="A134" s="642" t="s">
        <v>28</v>
      </c>
      <c r="B134" s="722" t="s">
        <v>151</v>
      </c>
      <c r="C134" s="470" t="s">
        <v>89</v>
      </c>
      <c r="D134" s="717" t="s">
        <v>152</v>
      </c>
      <c r="E134" s="688">
        <f>F134</f>
        <v>4027</v>
      </c>
      <c r="F134" s="688">
        <v>4027</v>
      </c>
      <c r="G134" s="476"/>
      <c r="H134" s="475">
        <f>I134+L134+M134+O134</f>
        <v>4027</v>
      </c>
      <c r="I134" s="475">
        <v>4027</v>
      </c>
      <c r="J134" s="476"/>
      <c r="K134" s="476"/>
      <c r="L134" s="476"/>
      <c r="M134" s="476"/>
      <c r="N134" s="476"/>
      <c r="O134" s="476"/>
      <c r="P134" s="475">
        <f>4000+27</f>
        <v>4027</v>
      </c>
      <c r="Q134" s="475">
        <f>SUM(R134:AA134)</f>
        <v>4027</v>
      </c>
      <c r="R134" s="475">
        <f>I134</f>
        <v>4027</v>
      </c>
      <c r="S134" s="476"/>
      <c r="T134" s="476"/>
      <c r="U134" s="476"/>
      <c r="V134" s="476"/>
      <c r="W134" s="476"/>
      <c r="X134" s="476"/>
      <c r="Y134" s="476"/>
      <c r="Z134" s="476"/>
      <c r="AA134" s="476"/>
      <c r="AB134" s="615" t="s">
        <v>1853</v>
      </c>
    </row>
    <row r="135" spans="1:28" ht="64.5" customHeight="1">
      <c r="A135" s="681" t="s">
        <v>30</v>
      </c>
      <c r="B135" s="682" t="s">
        <v>106</v>
      </c>
      <c r="C135" s="682"/>
      <c r="D135" s="470"/>
      <c r="E135" s="621">
        <f>SUM(E136:E146)</f>
        <v>258596</v>
      </c>
      <c r="F135" s="621">
        <f t="shared" ref="F135:Y135" si="80">SUM(F136:F146)</f>
        <v>222582</v>
      </c>
      <c r="G135" s="621">
        <f t="shared" si="80"/>
        <v>0</v>
      </c>
      <c r="H135" s="621">
        <f t="shared" si="80"/>
        <v>153816</v>
      </c>
      <c r="I135" s="621">
        <f t="shared" si="80"/>
        <v>153816</v>
      </c>
      <c r="J135" s="621"/>
      <c r="K135" s="621"/>
      <c r="L135" s="621"/>
      <c r="M135" s="621"/>
      <c r="N135" s="621"/>
      <c r="O135" s="621"/>
      <c r="P135" s="621">
        <f t="shared" si="80"/>
        <v>147539</v>
      </c>
      <c r="Q135" s="621">
        <f t="shared" si="80"/>
        <v>169141</v>
      </c>
      <c r="R135" s="621">
        <f t="shared" si="80"/>
        <v>134141</v>
      </c>
      <c r="S135" s="621"/>
      <c r="T135" s="621"/>
      <c r="U135" s="621"/>
      <c r="V135" s="621"/>
      <c r="W135" s="621">
        <f t="shared" si="80"/>
        <v>20000</v>
      </c>
      <c r="X135" s="621"/>
      <c r="Y135" s="621">
        <f t="shared" si="80"/>
        <v>15000</v>
      </c>
      <c r="Z135" s="621"/>
      <c r="AA135" s="621"/>
      <c r="AB135" s="623"/>
    </row>
    <row r="136" spans="1:28" s="478" customFormat="1" ht="87" hidden="1" customHeight="1">
      <c r="A136" s="642" t="s">
        <v>28</v>
      </c>
      <c r="B136" s="726" t="s">
        <v>153</v>
      </c>
      <c r="C136" s="728" t="s">
        <v>88</v>
      </c>
      <c r="D136" s="717" t="s">
        <v>154</v>
      </c>
      <c r="E136" s="687">
        <f>F136</f>
        <v>20000</v>
      </c>
      <c r="F136" s="687">
        <v>20000</v>
      </c>
      <c r="G136" s="476"/>
      <c r="H136" s="475"/>
      <c r="I136" s="475"/>
      <c r="J136" s="687"/>
      <c r="K136" s="476"/>
      <c r="L136" s="476"/>
      <c r="M136" s="476"/>
      <c r="N136" s="476"/>
      <c r="O136" s="476"/>
      <c r="P136" s="475"/>
      <c r="Q136" s="475"/>
      <c r="R136" s="475"/>
      <c r="S136" s="687"/>
      <c r="T136" s="476"/>
      <c r="U136" s="476"/>
      <c r="V136" s="476"/>
      <c r="W136" s="476"/>
      <c r="X136" s="476"/>
      <c r="Y136" s="476"/>
      <c r="Z136" s="476"/>
      <c r="AA136" s="476"/>
      <c r="AB136" s="615" t="s">
        <v>1861</v>
      </c>
    </row>
    <row r="137" spans="1:28" s="478" customFormat="1" ht="105.75" customHeight="1">
      <c r="A137" s="642" t="s">
        <v>28</v>
      </c>
      <c r="B137" s="726" t="s">
        <v>1176</v>
      </c>
      <c r="C137" s="728" t="s">
        <v>88</v>
      </c>
      <c r="D137" s="717" t="s">
        <v>155</v>
      </c>
      <c r="E137" s="687">
        <v>54000</v>
      </c>
      <c r="F137" s="687">
        <v>54000</v>
      </c>
      <c r="G137" s="476"/>
      <c r="H137" s="475">
        <f>I137+L137+M137+O137</f>
        <v>54000</v>
      </c>
      <c r="I137" s="475">
        <v>54000</v>
      </c>
      <c r="J137" s="476"/>
      <c r="K137" s="476"/>
      <c r="L137" s="476"/>
      <c r="M137" s="476"/>
      <c r="N137" s="476"/>
      <c r="O137" s="476"/>
      <c r="P137" s="475">
        <f>26658+210</f>
        <v>26868</v>
      </c>
      <c r="Q137" s="475">
        <f>R137</f>
        <v>26868</v>
      </c>
      <c r="R137" s="475">
        <f>P137</f>
        <v>26868</v>
      </c>
      <c r="S137" s="476"/>
      <c r="T137" s="476"/>
      <c r="U137" s="476"/>
      <c r="V137" s="476"/>
      <c r="W137" s="476"/>
      <c r="X137" s="476"/>
      <c r="Y137" s="476"/>
      <c r="Z137" s="476"/>
      <c r="AA137" s="476"/>
      <c r="AB137" s="615" t="s">
        <v>1838</v>
      </c>
    </row>
    <row r="138" spans="1:28" s="478" customFormat="1" ht="144.75" hidden="1" customHeight="1">
      <c r="A138" s="642" t="s">
        <v>32</v>
      </c>
      <c r="B138" s="726" t="s">
        <v>156</v>
      </c>
      <c r="C138" s="728" t="s">
        <v>88</v>
      </c>
      <c r="D138" s="717"/>
      <c r="E138" s="687">
        <f>F138</f>
        <v>25000</v>
      </c>
      <c r="F138" s="687">
        <v>25000</v>
      </c>
      <c r="G138" s="476"/>
      <c r="H138" s="475"/>
      <c r="I138" s="475"/>
      <c r="J138" s="476"/>
      <c r="K138" s="476"/>
      <c r="L138" s="476"/>
      <c r="M138" s="476"/>
      <c r="N138" s="476"/>
      <c r="O138" s="476"/>
      <c r="P138" s="475"/>
      <c r="Q138" s="475"/>
      <c r="R138" s="475"/>
      <c r="S138" s="476"/>
      <c r="T138" s="476"/>
      <c r="U138" s="476"/>
      <c r="V138" s="476"/>
      <c r="W138" s="476"/>
      <c r="X138" s="476"/>
      <c r="Y138" s="476"/>
      <c r="Z138" s="476"/>
      <c r="AA138" s="476"/>
      <c r="AB138" s="477" t="s">
        <v>1862</v>
      </c>
    </row>
    <row r="139" spans="1:28" s="478" customFormat="1" ht="95.25" customHeight="1">
      <c r="A139" s="642" t="s">
        <v>30</v>
      </c>
      <c r="B139" s="726" t="s">
        <v>1832</v>
      </c>
      <c r="C139" s="728" t="s">
        <v>89</v>
      </c>
      <c r="D139" s="717" t="s">
        <v>157</v>
      </c>
      <c r="E139" s="687">
        <f>F139</f>
        <v>4500</v>
      </c>
      <c r="F139" s="687">
        <v>4500</v>
      </c>
      <c r="G139" s="476"/>
      <c r="H139" s="475">
        <f t="shared" ref="H139:H149" si="81">I139+L139+M139+O139</f>
        <v>4500</v>
      </c>
      <c r="I139" s="475">
        <v>4500</v>
      </c>
      <c r="J139" s="476"/>
      <c r="K139" s="476"/>
      <c r="L139" s="476"/>
      <c r="M139" s="476"/>
      <c r="N139" s="476"/>
      <c r="O139" s="476"/>
      <c r="P139" s="475">
        <f>2000+2500</f>
        <v>4500</v>
      </c>
      <c r="Q139" s="475">
        <f t="shared" ref="Q139:Q144" si="82">R139</f>
        <v>4500</v>
      </c>
      <c r="R139" s="475">
        <f>P139</f>
        <v>4500</v>
      </c>
      <c r="S139" s="476"/>
      <c r="T139" s="476"/>
      <c r="U139" s="476"/>
      <c r="V139" s="476"/>
      <c r="W139" s="476"/>
      <c r="X139" s="476"/>
      <c r="Y139" s="476"/>
      <c r="Z139" s="476"/>
      <c r="AA139" s="476"/>
      <c r="AB139" s="615" t="s">
        <v>1853</v>
      </c>
    </row>
    <row r="140" spans="1:28" s="478" customFormat="1" ht="114" customHeight="1">
      <c r="A140" s="642" t="s">
        <v>32</v>
      </c>
      <c r="B140" s="726" t="s">
        <v>158</v>
      </c>
      <c r="C140" s="728" t="s">
        <v>89</v>
      </c>
      <c r="D140" s="717" t="s">
        <v>159</v>
      </c>
      <c r="E140" s="687">
        <v>10703</v>
      </c>
      <c r="F140" s="687">
        <f>R140</f>
        <v>10266</v>
      </c>
      <c r="G140" s="476"/>
      <c r="H140" s="475">
        <f t="shared" si="81"/>
        <v>9500</v>
      </c>
      <c r="I140" s="475">
        <v>9500</v>
      </c>
      <c r="J140" s="476"/>
      <c r="K140" s="476"/>
      <c r="L140" s="476"/>
      <c r="M140" s="476"/>
      <c r="N140" s="476"/>
      <c r="O140" s="476"/>
      <c r="P140" s="475">
        <f>Q140</f>
        <v>10266</v>
      </c>
      <c r="Q140" s="475">
        <f t="shared" si="82"/>
        <v>10266</v>
      </c>
      <c r="R140" s="475">
        <f>2000+4347+2000+2073-154</f>
        <v>10266</v>
      </c>
      <c r="S140" s="476"/>
      <c r="T140" s="476"/>
      <c r="U140" s="476"/>
      <c r="V140" s="476"/>
      <c r="W140" s="476"/>
      <c r="X140" s="476"/>
      <c r="Y140" s="476"/>
      <c r="Z140" s="476"/>
      <c r="AA140" s="476"/>
      <c r="AB140" s="615" t="s">
        <v>2318</v>
      </c>
    </row>
    <row r="141" spans="1:28" s="478" customFormat="1" ht="96.75" customHeight="1">
      <c r="A141" s="642" t="s">
        <v>34</v>
      </c>
      <c r="B141" s="726" t="s">
        <v>160</v>
      </c>
      <c r="C141" s="728" t="s">
        <v>89</v>
      </c>
      <c r="D141" s="717" t="s">
        <v>161</v>
      </c>
      <c r="E141" s="687">
        <v>9700</v>
      </c>
      <c r="F141" s="687">
        <v>9143</v>
      </c>
      <c r="G141" s="476"/>
      <c r="H141" s="475">
        <f t="shared" si="81"/>
        <v>9143</v>
      </c>
      <c r="I141" s="475">
        <v>9143</v>
      </c>
      <c r="J141" s="476"/>
      <c r="K141" s="476"/>
      <c r="L141" s="476"/>
      <c r="M141" s="476"/>
      <c r="N141" s="476"/>
      <c r="O141" s="476"/>
      <c r="P141" s="475">
        <f>Q141</f>
        <v>9143</v>
      </c>
      <c r="Q141" s="475">
        <f t="shared" si="82"/>
        <v>9143</v>
      </c>
      <c r="R141" s="475">
        <f>I141</f>
        <v>9143</v>
      </c>
      <c r="S141" s="476"/>
      <c r="T141" s="476"/>
      <c r="U141" s="476"/>
      <c r="V141" s="476"/>
      <c r="W141" s="476"/>
      <c r="X141" s="476"/>
      <c r="Y141" s="476"/>
      <c r="Z141" s="476"/>
      <c r="AA141" s="476"/>
      <c r="AB141" s="615" t="s">
        <v>1853</v>
      </c>
    </row>
    <row r="142" spans="1:28" s="478" customFormat="1" ht="88.5" customHeight="1">
      <c r="A142" s="642" t="s">
        <v>36</v>
      </c>
      <c r="B142" s="726" t="s">
        <v>945</v>
      </c>
      <c r="C142" s="728" t="s">
        <v>89</v>
      </c>
      <c r="D142" s="717" t="s">
        <v>946</v>
      </c>
      <c r="E142" s="687">
        <v>6700</v>
      </c>
      <c r="F142" s="687">
        <v>6700</v>
      </c>
      <c r="G142" s="476"/>
      <c r="H142" s="475">
        <f t="shared" si="81"/>
        <v>6700</v>
      </c>
      <c r="I142" s="475">
        <v>6700</v>
      </c>
      <c r="J142" s="476"/>
      <c r="K142" s="476"/>
      <c r="L142" s="476"/>
      <c r="M142" s="476"/>
      <c r="N142" s="476"/>
      <c r="O142" s="476"/>
      <c r="P142" s="475">
        <v>5098</v>
      </c>
      <c r="Q142" s="475">
        <f t="shared" si="82"/>
        <v>6700</v>
      </c>
      <c r="R142" s="475">
        <f>I142</f>
        <v>6700</v>
      </c>
      <c r="S142" s="476"/>
      <c r="T142" s="476"/>
      <c r="U142" s="476"/>
      <c r="V142" s="476"/>
      <c r="W142" s="476"/>
      <c r="X142" s="476"/>
      <c r="Y142" s="476"/>
      <c r="Z142" s="476"/>
      <c r="AA142" s="476"/>
      <c r="AB142" s="608"/>
    </row>
    <row r="143" spans="1:28" s="478" customFormat="1" ht="68.25" customHeight="1">
      <c r="A143" s="642" t="s">
        <v>38</v>
      </c>
      <c r="B143" s="726" t="s">
        <v>1864</v>
      </c>
      <c r="C143" s="728" t="s">
        <v>89</v>
      </c>
      <c r="D143" s="717" t="s">
        <v>162</v>
      </c>
      <c r="E143" s="687">
        <v>21993</v>
      </c>
      <c r="F143" s="687">
        <v>21323</v>
      </c>
      <c r="G143" s="476"/>
      <c r="H143" s="475">
        <f t="shared" si="81"/>
        <v>21323</v>
      </c>
      <c r="I143" s="475">
        <v>21323</v>
      </c>
      <c r="J143" s="476"/>
      <c r="K143" s="476"/>
      <c r="L143" s="476"/>
      <c r="M143" s="476"/>
      <c r="N143" s="476"/>
      <c r="O143" s="476"/>
      <c r="P143" s="475">
        <f>1000+2323+18000</f>
        <v>21323</v>
      </c>
      <c r="Q143" s="475">
        <f t="shared" si="82"/>
        <v>21323</v>
      </c>
      <c r="R143" s="475">
        <f>I143</f>
        <v>21323</v>
      </c>
      <c r="S143" s="476"/>
      <c r="T143" s="476"/>
      <c r="U143" s="476"/>
      <c r="V143" s="476"/>
      <c r="W143" s="476"/>
      <c r="X143" s="476"/>
      <c r="Y143" s="476"/>
      <c r="Z143" s="476"/>
      <c r="AA143" s="476"/>
      <c r="AB143" s="615" t="s">
        <v>1865</v>
      </c>
    </row>
    <row r="144" spans="1:28" s="478" customFormat="1" ht="96" customHeight="1">
      <c r="A144" s="642" t="s">
        <v>40</v>
      </c>
      <c r="B144" s="471" t="s">
        <v>163</v>
      </c>
      <c r="C144" s="728" t="s">
        <v>89</v>
      </c>
      <c r="D144" s="701" t="s">
        <v>164</v>
      </c>
      <c r="E144" s="685">
        <v>7000</v>
      </c>
      <c r="F144" s="685">
        <v>6650</v>
      </c>
      <c r="G144" s="476"/>
      <c r="H144" s="475">
        <f t="shared" si="81"/>
        <v>6650</v>
      </c>
      <c r="I144" s="475">
        <v>6650</v>
      </c>
      <c r="J144" s="476"/>
      <c r="K144" s="476"/>
      <c r="L144" s="476"/>
      <c r="M144" s="476"/>
      <c r="N144" s="476"/>
      <c r="O144" s="476"/>
      <c r="P144" s="475">
        <f>4250+2091</f>
        <v>6341</v>
      </c>
      <c r="Q144" s="475">
        <f t="shared" si="82"/>
        <v>6341</v>
      </c>
      <c r="R144" s="475">
        <f>P144</f>
        <v>6341</v>
      </c>
      <c r="S144" s="476"/>
      <c r="T144" s="476"/>
      <c r="U144" s="476"/>
      <c r="V144" s="476"/>
      <c r="W144" s="476"/>
      <c r="X144" s="476"/>
      <c r="Y144" s="476"/>
      <c r="Z144" s="476"/>
      <c r="AA144" s="476"/>
      <c r="AB144" s="615" t="s">
        <v>1853</v>
      </c>
    </row>
    <row r="145" spans="1:28" s="478" customFormat="1" ht="111" customHeight="1">
      <c r="A145" s="642" t="s">
        <v>42</v>
      </c>
      <c r="B145" s="471" t="s">
        <v>1173</v>
      </c>
      <c r="C145" s="728" t="s">
        <v>88</v>
      </c>
      <c r="D145" s="701" t="s">
        <v>1174</v>
      </c>
      <c r="E145" s="685">
        <v>59000</v>
      </c>
      <c r="F145" s="685">
        <v>25000</v>
      </c>
      <c r="G145" s="476"/>
      <c r="H145" s="475">
        <f t="shared" si="81"/>
        <v>42000</v>
      </c>
      <c r="I145" s="475">
        <f>15000+27000</f>
        <v>42000</v>
      </c>
      <c r="J145" s="476"/>
      <c r="K145" s="476"/>
      <c r="L145" s="476"/>
      <c r="M145" s="476"/>
      <c r="N145" s="476"/>
      <c r="O145" s="476"/>
      <c r="P145" s="475">
        <v>44000</v>
      </c>
      <c r="Q145" s="475">
        <f>R145+V145+W145+X145+Y145+AA145</f>
        <v>44000</v>
      </c>
      <c r="R145" s="475">
        <f>25000+4000</f>
        <v>29000</v>
      </c>
      <c r="S145" s="476"/>
      <c r="T145" s="476"/>
      <c r="U145" s="476"/>
      <c r="V145" s="476"/>
      <c r="W145" s="476"/>
      <c r="X145" s="476"/>
      <c r="Y145" s="639">
        <f>5000+10000</f>
        <v>15000</v>
      </c>
      <c r="Z145" s="639"/>
      <c r="AA145" s="476"/>
      <c r="AB145" s="615" t="s">
        <v>2317</v>
      </c>
    </row>
    <row r="146" spans="1:28" s="478" customFormat="1" ht="111" customHeight="1">
      <c r="A146" s="642" t="s">
        <v>44</v>
      </c>
      <c r="B146" s="729" t="s">
        <v>2316</v>
      </c>
      <c r="C146" s="728"/>
      <c r="D146" s="701" t="s">
        <v>2234</v>
      </c>
      <c r="E146" s="711">
        <v>40000</v>
      </c>
      <c r="F146" s="711">
        <v>40000</v>
      </c>
      <c r="G146" s="476"/>
      <c r="H146" s="475"/>
      <c r="I146" s="475"/>
      <c r="J146" s="476"/>
      <c r="K146" s="476"/>
      <c r="L146" s="476"/>
      <c r="M146" s="476"/>
      <c r="N146" s="476"/>
      <c r="O146" s="476"/>
      <c r="P146" s="475">
        <v>20000</v>
      </c>
      <c r="Q146" s="475">
        <f>R146+V146+W146+X146+Y146+AA146</f>
        <v>40000</v>
      </c>
      <c r="R146" s="687">
        <f>18000+2000</f>
        <v>20000</v>
      </c>
      <c r="S146" s="476"/>
      <c r="T146" s="476"/>
      <c r="U146" s="476"/>
      <c r="V146" s="476"/>
      <c r="W146" s="475">
        <v>20000</v>
      </c>
      <c r="X146" s="476"/>
      <c r="Y146" s="639"/>
      <c r="Z146" s="639"/>
      <c r="AA146" s="476"/>
      <c r="AB146" s="615" t="s">
        <v>2317</v>
      </c>
    </row>
    <row r="147" spans="1:28" s="478" customFormat="1" ht="119.25" customHeight="1">
      <c r="A147" s="615" t="s">
        <v>165</v>
      </c>
      <c r="B147" s="616" t="s">
        <v>166</v>
      </c>
      <c r="C147" s="616"/>
      <c r="D147" s="476"/>
      <c r="E147" s="476"/>
      <c r="F147" s="619">
        <v>652919</v>
      </c>
      <c r="G147" s="476"/>
      <c r="H147" s="619">
        <f t="shared" si="81"/>
        <v>1625509</v>
      </c>
      <c r="I147" s="619">
        <v>652919</v>
      </c>
      <c r="J147" s="476"/>
      <c r="K147" s="476"/>
      <c r="L147" s="619">
        <f>1080773-L149</f>
        <v>829580</v>
      </c>
      <c r="M147" s="619">
        <f>161960-M65-4828</f>
        <v>143010</v>
      </c>
      <c r="N147" s="619"/>
      <c r="O147" s="619"/>
      <c r="P147" s="619"/>
      <c r="Q147" s="619">
        <f>SUM(R147:AA147)</f>
        <v>1731939</v>
      </c>
      <c r="R147" s="619">
        <f>115830+115830+121737+133911+175631</f>
        <v>662939</v>
      </c>
      <c r="S147" s="476"/>
      <c r="T147" s="476"/>
      <c r="U147" s="476"/>
      <c r="V147" s="619">
        <f>197500+206000+194000+221500+250000</f>
        <v>1069000</v>
      </c>
      <c r="W147" s="619"/>
      <c r="X147" s="619"/>
      <c r="Y147" s="619"/>
      <c r="Z147" s="619"/>
      <c r="AA147" s="619"/>
      <c r="AB147" s="477" t="s">
        <v>1863</v>
      </c>
    </row>
    <row r="148" spans="1:28" s="624" customFormat="1" ht="73.5" customHeight="1">
      <c r="A148" s="615" t="s">
        <v>167</v>
      </c>
      <c r="B148" s="616" t="s">
        <v>168</v>
      </c>
      <c r="C148" s="616"/>
      <c r="D148" s="617"/>
      <c r="E148" s="618"/>
      <c r="F148" s="619">
        <v>10000</v>
      </c>
      <c r="G148" s="618"/>
      <c r="H148" s="619">
        <f t="shared" si="81"/>
        <v>10000</v>
      </c>
      <c r="I148" s="619">
        <v>10000</v>
      </c>
      <c r="J148" s="618"/>
      <c r="K148" s="618"/>
      <c r="L148" s="619"/>
      <c r="M148" s="619"/>
      <c r="N148" s="619"/>
      <c r="O148" s="618"/>
      <c r="P148" s="619"/>
      <c r="Q148" s="619">
        <f>R148</f>
        <v>10000</v>
      </c>
      <c r="R148" s="619">
        <f>I148</f>
        <v>10000</v>
      </c>
      <c r="S148" s="618"/>
      <c r="T148" s="618"/>
      <c r="U148" s="618"/>
      <c r="V148" s="619"/>
      <c r="W148" s="619"/>
      <c r="X148" s="619"/>
      <c r="Y148" s="619"/>
      <c r="Z148" s="619"/>
      <c r="AA148" s="618"/>
      <c r="AB148" s="617"/>
    </row>
    <row r="149" spans="1:28" s="478" customFormat="1" ht="267" customHeight="1">
      <c r="A149" s="1208" t="s">
        <v>169</v>
      </c>
      <c r="B149" s="1210" t="s">
        <v>2142</v>
      </c>
      <c r="C149" s="1208"/>
      <c r="D149" s="1206"/>
      <c r="E149" s="1206"/>
      <c r="F149" s="1208"/>
      <c r="G149" s="1206"/>
      <c r="H149" s="1208">
        <f t="shared" si="81"/>
        <v>256021</v>
      </c>
      <c r="I149" s="1208"/>
      <c r="J149" s="1208"/>
      <c r="K149" s="1208"/>
      <c r="L149" s="1208">
        <v>251193</v>
      </c>
      <c r="M149" s="1208">
        <v>4828</v>
      </c>
      <c r="N149" s="1208"/>
      <c r="O149" s="1208"/>
      <c r="P149" s="1208">
        <f>10574+2090+34587+4828</f>
        <v>52079</v>
      </c>
      <c r="Q149" s="1208">
        <f>SUM(R149:AA150)</f>
        <v>45735</v>
      </c>
      <c r="R149" s="1208"/>
      <c r="S149" s="1208"/>
      <c r="T149" s="1208"/>
      <c r="U149" s="730"/>
      <c r="V149" s="1208">
        <v>40907</v>
      </c>
      <c r="W149" s="1208">
        <v>4828</v>
      </c>
      <c r="X149" s="1208"/>
      <c r="Y149" s="730"/>
      <c r="Z149" s="730"/>
      <c r="AA149" s="1208"/>
      <c r="AB149" s="1212" t="s">
        <v>2321</v>
      </c>
    </row>
    <row r="150" spans="1:28" ht="267" customHeight="1">
      <c r="A150" s="1209"/>
      <c r="B150" s="1211"/>
      <c r="C150" s="1209"/>
      <c r="D150" s="1207"/>
      <c r="E150" s="1207"/>
      <c r="F150" s="1209"/>
      <c r="G150" s="1207"/>
      <c r="H150" s="1209"/>
      <c r="I150" s="1209"/>
      <c r="J150" s="1209"/>
      <c r="K150" s="1209"/>
      <c r="L150" s="1209"/>
      <c r="M150" s="1209"/>
      <c r="N150" s="1209"/>
      <c r="O150" s="1209"/>
      <c r="P150" s="1209"/>
      <c r="Q150" s="1209"/>
      <c r="R150" s="1209"/>
      <c r="S150" s="1209"/>
      <c r="T150" s="1209"/>
      <c r="U150" s="731"/>
      <c r="V150" s="1209"/>
      <c r="W150" s="1209"/>
      <c r="X150" s="1209"/>
      <c r="Y150" s="731"/>
      <c r="Z150" s="731"/>
      <c r="AA150" s="1209"/>
      <c r="AB150" s="1213"/>
    </row>
    <row r="151" spans="1:28">
      <c r="A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row>
    <row r="152" spans="1:28">
      <c r="A152" s="605"/>
      <c r="D152" s="605"/>
      <c r="E152" s="605"/>
      <c r="F152" s="605"/>
      <c r="G152" s="605"/>
      <c r="H152" s="605"/>
      <c r="I152" s="605"/>
      <c r="J152" s="605"/>
      <c r="K152" s="605"/>
      <c r="L152" s="605"/>
      <c r="M152" s="605"/>
      <c r="N152" s="605"/>
      <c r="O152" s="605"/>
      <c r="P152" s="605"/>
      <c r="Q152" s="605"/>
      <c r="R152" s="605"/>
      <c r="S152" s="605"/>
      <c r="T152" s="605"/>
      <c r="U152" s="605"/>
      <c r="V152" s="605"/>
      <c r="W152" s="605"/>
      <c r="X152" s="605"/>
      <c r="Y152" s="605"/>
      <c r="Z152" s="605"/>
      <c r="AA152" s="605"/>
    </row>
    <row r="153" spans="1:28">
      <c r="A153" s="605"/>
      <c r="D153" s="605"/>
      <c r="E153" s="605"/>
      <c r="F153" s="605"/>
      <c r="G153" s="605"/>
      <c r="H153" s="605"/>
      <c r="I153" s="605"/>
      <c r="J153" s="605"/>
      <c r="K153" s="605"/>
      <c r="L153" s="605"/>
      <c r="M153" s="605"/>
      <c r="N153" s="605"/>
      <c r="O153" s="605"/>
      <c r="P153" s="605"/>
      <c r="Q153" s="605"/>
      <c r="R153" s="605"/>
      <c r="S153" s="605"/>
      <c r="T153" s="605"/>
      <c r="U153" s="605"/>
      <c r="V153" s="605"/>
      <c r="W153" s="605"/>
      <c r="X153" s="605"/>
      <c r="Y153" s="605"/>
      <c r="Z153" s="605"/>
      <c r="AA153" s="605"/>
    </row>
    <row r="154" spans="1:28">
      <c r="A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row>
    <row r="155" spans="1:28">
      <c r="A155" s="605"/>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row>
    <row r="156" spans="1:28">
      <c r="A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row>
    <row r="157" spans="1:28">
      <c r="A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row>
    <row r="158" spans="1:28">
      <c r="A158" s="605"/>
      <c r="D158" s="605"/>
      <c r="E158" s="605"/>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6"/>
    </row>
    <row r="159" spans="1:28">
      <c r="A159" s="605"/>
      <c r="D159" s="605"/>
      <c r="E159" s="605"/>
      <c r="F159" s="605"/>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6"/>
    </row>
    <row r="160" spans="1:28">
      <c r="A160" s="605"/>
      <c r="D160" s="605"/>
      <c r="E160" s="605"/>
      <c r="F160" s="605"/>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6"/>
    </row>
    <row r="161" spans="1:28">
      <c r="A161" s="605"/>
      <c r="D161" s="605"/>
      <c r="E161" s="605"/>
      <c r="F161" s="605"/>
      <c r="G161" s="605"/>
      <c r="H161" s="605"/>
      <c r="I161" s="605"/>
      <c r="J161" s="605"/>
      <c r="K161" s="605"/>
      <c r="L161" s="605"/>
      <c r="M161" s="605"/>
      <c r="N161" s="605"/>
      <c r="O161" s="605"/>
      <c r="P161" s="605"/>
      <c r="Q161" s="605"/>
      <c r="R161" s="605"/>
      <c r="S161" s="605"/>
      <c r="T161" s="605"/>
      <c r="U161" s="605"/>
      <c r="V161" s="605"/>
      <c r="W161" s="605"/>
      <c r="X161" s="605"/>
      <c r="Y161" s="605"/>
      <c r="Z161" s="605"/>
      <c r="AA161" s="605"/>
      <c r="AB161" s="606"/>
    </row>
    <row r="162" spans="1:28">
      <c r="A162" s="605"/>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6"/>
    </row>
    <row r="163" spans="1:28">
      <c r="A163" s="605"/>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6"/>
    </row>
    <row r="164" spans="1:28">
      <c r="A164" s="605"/>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6"/>
    </row>
    <row r="165" spans="1:28">
      <c r="A165" s="605"/>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6"/>
    </row>
    <row r="166" spans="1:28">
      <c r="A166" s="605"/>
      <c r="D166" s="605"/>
      <c r="E166" s="605"/>
      <c r="F166" s="605"/>
      <c r="G166" s="605"/>
      <c r="H166" s="605"/>
      <c r="I166" s="605"/>
      <c r="J166" s="605"/>
      <c r="K166" s="605"/>
      <c r="L166" s="605"/>
      <c r="M166" s="605"/>
      <c r="N166" s="605"/>
      <c r="O166" s="605"/>
      <c r="P166" s="605"/>
      <c r="Q166" s="605"/>
      <c r="R166" s="605"/>
      <c r="S166" s="605"/>
      <c r="T166" s="605"/>
      <c r="U166" s="605"/>
      <c r="V166" s="605"/>
      <c r="W166" s="605"/>
      <c r="X166" s="605"/>
      <c r="Y166" s="605"/>
      <c r="Z166" s="605"/>
      <c r="AA166" s="605"/>
      <c r="AB166" s="606"/>
    </row>
    <row r="167" spans="1:28">
      <c r="A167" s="605"/>
      <c r="D167" s="605"/>
      <c r="E167" s="605"/>
      <c r="F167" s="605"/>
      <c r="G167" s="605"/>
      <c r="H167" s="605"/>
      <c r="I167" s="605"/>
      <c r="J167" s="605"/>
      <c r="K167" s="605"/>
      <c r="L167" s="605"/>
      <c r="M167" s="605"/>
      <c r="N167" s="605"/>
      <c r="O167" s="605"/>
      <c r="P167" s="605"/>
      <c r="Q167" s="605"/>
      <c r="R167" s="605"/>
      <c r="S167" s="605"/>
      <c r="T167" s="605"/>
      <c r="U167" s="605"/>
      <c r="V167" s="605"/>
      <c r="W167" s="605"/>
      <c r="X167" s="605"/>
      <c r="Y167" s="605"/>
      <c r="Z167" s="605"/>
      <c r="AA167" s="605"/>
      <c r="AB167" s="606"/>
    </row>
    <row r="168" spans="1:28">
      <c r="A168" s="605"/>
      <c r="D168" s="605"/>
      <c r="E168" s="605"/>
      <c r="F168" s="605"/>
      <c r="G168" s="605"/>
      <c r="H168" s="605"/>
      <c r="I168" s="605"/>
      <c r="J168" s="605"/>
      <c r="K168" s="605"/>
      <c r="L168" s="605"/>
      <c r="M168" s="605"/>
      <c r="N168" s="605"/>
      <c r="O168" s="605"/>
      <c r="P168" s="605"/>
      <c r="Q168" s="605"/>
      <c r="R168" s="605"/>
      <c r="S168" s="605"/>
      <c r="T168" s="605"/>
      <c r="U168" s="605"/>
      <c r="V168" s="605"/>
      <c r="W168" s="605"/>
      <c r="X168" s="605"/>
      <c r="Y168" s="605"/>
      <c r="Z168" s="605"/>
      <c r="AA168" s="605"/>
      <c r="AB168" s="606"/>
    </row>
    <row r="169" spans="1:28">
      <c r="A169" s="605"/>
      <c r="D169" s="605"/>
      <c r="E169" s="605"/>
      <c r="F169" s="605"/>
      <c r="G169" s="605"/>
      <c r="H169" s="605"/>
      <c r="I169" s="605"/>
      <c r="J169" s="605"/>
      <c r="K169" s="605"/>
      <c r="L169" s="605"/>
      <c r="M169" s="605"/>
      <c r="N169" s="605"/>
      <c r="O169" s="605"/>
      <c r="P169" s="605"/>
      <c r="Q169" s="605"/>
      <c r="R169" s="605"/>
      <c r="S169" s="605"/>
      <c r="T169" s="605"/>
      <c r="U169" s="605"/>
      <c r="V169" s="605"/>
      <c r="W169" s="605"/>
      <c r="X169" s="605"/>
      <c r="Y169" s="605"/>
      <c r="Z169" s="605"/>
      <c r="AA169" s="605"/>
      <c r="AB169" s="606"/>
    </row>
    <row r="170" spans="1:28">
      <c r="A170" s="605"/>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6"/>
    </row>
    <row r="171" spans="1:28">
      <c r="A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6"/>
    </row>
    <row r="172" spans="1:28">
      <c r="A172" s="605"/>
      <c r="D172" s="605"/>
      <c r="E172" s="605"/>
      <c r="F172" s="605"/>
      <c r="G172" s="605"/>
      <c r="H172" s="605"/>
      <c r="I172" s="605"/>
      <c r="J172" s="605"/>
      <c r="K172" s="605"/>
      <c r="L172" s="605"/>
      <c r="M172" s="605"/>
      <c r="N172" s="605"/>
      <c r="O172" s="605"/>
      <c r="P172" s="605"/>
      <c r="Q172" s="605"/>
      <c r="R172" s="605"/>
      <c r="S172" s="605"/>
      <c r="T172" s="605"/>
      <c r="U172" s="605"/>
      <c r="V172" s="605"/>
      <c r="W172" s="605"/>
      <c r="X172" s="605"/>
      <c r="Y172" s="605"/>
      <c r="Z172" s="605"/>
      <c r="AA172" s="605"/>
      <c r="AB172" s="606"/>
    </row>
    <row r="173" spans="1:28">
      <c r="A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6"/>
    </row>
    <row r="174" spans="1:28">
      <c r="A174" s="605"/>
      <c r="D174" s="605"/>
      <c r="E174" s="605"/>
      <c r="F174" s="605"/>
      <c r="G174" s="605"/>
      <c r="H174" s="605"/>
      <c r="I174" s="605"/>
      <c r="J174" s="605"/>
      <c r="K174" s="605"/>
      <c r="L174" s="605"/>
      <c r="M174" s="605"/>
      <c r="N174" s="605"/>
      <c r="O174" s="605"/>
      <c r="P174" s="605"/>
      <c r="Q174" s="605"/>
      <c r="R174" s="605"/>
      <c r="S174" s="605"/>
      <c r="T174" s="605"/>
      <c r="U174" s="605"/>
      <c r="V174" s="605"/>
      <c r="W174" s="605"/>
      <c r="X174" s="605"/>
      <c r="Y174" s="605"/>
      <c r="Z174" s="605"/>
      <c r="AA174" s="605"/>
      <c r="AB174" s="606"/>
    </row>
    <row r="175" spans="1:28">
      <c r="A175" s="605"/>
      <c r="D175" s="605"/>
      <c r="E175" s="605"/>
      <c r="F175" s="605"/>
      <c r="G175" s="605"/>
      <c r="H175" s="605"/>
      <c r="I175" s="605"/>
      <c r="J175" s="605"/>
      <c r="K175" s="605"/>
      <c r="L175" s="605"/>
      <c r="M175" s="605"/>
      <c r="N175" s="605"/>
      <c r="O175" s="605"/>
      <c r="P175" s="605"/>
      <c r="Q175" s="605"/>
      <c r="R175" s="605"/>
      <c r="S175" s="605"/>
      <c r="T175" s="605"/>
      <c r="U175" s="605"/>
      <c r="V175" s="605"/>
      <c r="W175" s="605"/>
      <c r="X175" s="605"/>
      <c r="Y175" s="605"/>
      <c r="Z175" s="605"/>
      <c r="AA175" s="605"/>
      <c r="AB175" s="606"/>
    </row>
    <row r="176" spans="1:28">
      <c r="A176" s="605"/>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6"/>
    </row>
    <row r="177" spans="1:28">
      <c r="A177" s="605"/>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6"/>
    </row>
    <row r="178" spans="1:28">
      <c r="A178" s="605"/>
      <c r="D178" s="605"/>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6"/>
    </row>
    <row r="179" spans="1:28">
      <c r="A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6"/>
    </row>
    <row r="180" spans="1:28">
      <c r="A180" s="605"/>
      <c r="D180" s="605"/>
      <c r="E180" s="605"/>
      <c r="F180" s="605"/>
      <c r="G180" s="605"/>
      <c r="H180" s="605"/>
      <c r="I180" s="605"/>
      <c r="J180" s="605"/>
      <c r="K180" s="605"/>
      <c r="L180" s="605"/>
      <c r="M180" s="605"/>
      <c r="N180" s="605"/>
      <c r="O180" s="605"/>
      <c r="P180" s="605"/>
      <c r="Q180" s="605"/>
      <c r="R180" s="605"/>
      <c r="S180" s="605"/>
      <c r="T180" s="605"/>
      <c r="U180" s="605"/>
      <c r="V180" s="605"/>
      <c r="W180" s="605"/>
      <c r="X180" s="605"/>
      <c r="Y180" s="605"/>
      <c r="Z180" s="605"/>
      <c r="AA180" s="605"/>
      <c r="AB180" s="606"/>
    </row>
    <row r="181" spans="1:28">
      <c r="A181" s="605"/>
      <c r="D181" s="605"/>
      <c r="E181" s="605"/>
      <c r="F181" s="605"/>
      <c r="G181" s="605"/>
      <c r="H181" s="605"/>
      <c r="I181" s="605"/>
      <c r="J181" s="605"/>
      <c r="K181" s="605"/>
      <c r="L181" s="605"/>
      <c r="M181" s="605"/>
      <c r="N181" s="605"/>
      <c r="O181" s="605"/>
      <c r="P181" s="605"/>
      <c r="Q181" s="605"/>
      <c r="R181" s="605"/>
      <c r="S181" s="605"/>
      <c r="T181" s="605"/>
      <c r="U181" s="605"/>
      <c r="V181" s="605"/>
      <c r="W181" s="605"/>
      <c r="X181" s="605"/>
      <c r="Y181" s="605"/>
      <c r="Z181" s="605"/>
      <c r="AA181" s="605"/>
      <c r="AB181" s="606"/>
    </row>
    <row r="182" spans="1:28">
      <c r="A182" s="605"/>
      <c r="D182" s="605"/>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6"/>
    </row>
    <row r="183" spans="1:28">
      <c r="A183" s="605"/>
      <c r="D183" s="605"/>
      <c r="E183" s="605"/>
      <c r="F183" s="605"/>
      <c r="G183" s="605"/>
      <c r="H183" s="605"/>
      <c r="I183" s="605"/>
      <c r="J183" s="605"/>
      <c r="K183" s="605"/>
      <c r="L183" s="605"/>
      <c r="M183" s="605"/>
      <c r="N183" s="605"/>
      <c r="O183" s="605"/>
      <c r="P183" s="605"/>
      <c r="Q183" s="605"/>
      <c r="R183" s="605"/>
      <c r="S183" s="605"/>
      <c r="T183" s="605"/>
      <c r="U183" s="605"/>
      <c r="V183" s="605"/>
      <c r="W183" s="605"/>
      <c r="X183" s="605"/>
      <c r="Y183" s="605"/>
      <c r="Z183" s="605"/>
      <c r="AA183" s="605"/>
      <c r="AB183" s="606"/>
    </row>
    <row r="184" spans="1:28">
      <c r="A184" s="605"/>
      <c r="D184" s="605"/>
      <c r="E184" s="605"/>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6"/>
    </row>
    <row r="185" spans="1:28">
      <c r="A185" s="605"/>
      <c r="D185" s="605"/>
      <c r="E185" s="605"/>
      <c r="F185" s="605"/>
      <c r="G185" s="605"/>
      <c r="H185" s="605"/>
      <c r="I185" s="605"/>
      <c r="J185" s="605"/>
      <c r="K185" s="605"/>
      <c r="L185" s="605"/>
      <c r="M185" s="605"/>
      <c r="N185" s="605"/>
      <c r="O185" s="605"/>
      <c r="P185" s="605"/>
      <c r="Q185" s="605"/>
      <c r="R185" s="605"/>
      <c r="S185" s="605"/>
      <c r="T185" s="605"/>
      <c r="U185" s="605"/>
      <c r="V185" s="605"/>
      <c r="W185" s="605"/>
      <c r="X185" s="605"/>
      <c r="Y185" s="605"/>
      <c r="Z185" s="605"/>
      <c r="AA185" s="605"/>
      <c r="AB185" s="606"/>
    </row>
    <row r="186" spans="1:28">
      <c r="A186" s="605"/>
      <c r="D186" s="605"/>
      <c r="E186" s="605"/>
      <c r="F186" s="605"/>
      <c r="G186" s="605"/>
      <c r="H186" s="605"/>
      <c r="I186" s="605"/>
      <c r="J186" s="605"/>
      <c r="K186" s="605"/>
      <c r="L186" s="605"/>
      <c r="M186" s="605"/>
      <c r="N186" s="605"/>
      <c r="O186" s="605"/>
      <c r="P186" s="605"/>
      <c r="Q186" s="605"/>
      <c r="R186" s="605"/>
      <c r="S186" s="605"/>
      <c r="T186" s="605"/>
      <c r="U186" s="605"/>
      <c r="V186" s="605"/>
      <c r="W186" s="605"/>
      <c r="X186" s="605"/>
      <c r="Y186" s="605"/>
      <c r="Z186" s="605"/>
      <c r="AA186" s="605"/>
      <c r="AB186" s="606"/>
    </row>
    <row r="187" spans="1:28">
      <c r="A187" s="605"/>
      <c r="D187" s="605"/>
      <c r="E187" s="605"/>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6"/>
    </row>
    <row r="188" spans="1:28">
      <c r="A188" s="605"/>
      <c r="D188" s="605"/>
      <c r="E188" s="605"/>
      <c r="F188" s="605"/>
      <c r="G188" s="605"/>
      <c r="H188" s="605"/>
      <c r="I188" s="605"/>
      <c r="J188" s="605"/>
      <c r="K188" s="605"/>
      <c r="L188" s="605"/>
      <c r="M188" s="605"/>
      <c r="N188" s="605"/>
      <c r="O188" s="605"/>
      <c r="P188" s="605"/>
      <c r="Q188" s="605"/>
      <c r="R188" s="605"/>
      <c r="S188" s="605"/>
      <c r="T188" s="605"/>
      <c r="U188" s="605"/>
      <c r="V188" s="605"/>
      <c r="W188" s="605"/>
      <c r="X188" s="605"/>
      <c r="Y188" s="605"/>
      <c r="Z188" s="605"/>
      <c r="AA188" s="605"/>
      <c r="AB188" s="606"/>
    </row>
    <row r="189" spans="1:28">
      <c r="A189" s="605"/>
      <c r="D189" s="605"/>
      <c r="E189" s="605"/>
      <c r="F189" s="605"/>
      <c r="G189" s="605"/>
      <c r="H189" s="605"/>
      <c r="I189" s="605"/>
      <c r="J189" s="605"/>
      <c r="K189" s="605"/>
      <c r="L189" s="605"/>
      <c r="M189" s="605"/>
      <c r="N189" s="605"/>
      <c r="O189" s="605"/>
      <c r="P189" s="605"/>
      <c r="Q189" s="605"/>
      <c r="R189" s="605"/>
      <c r="S189" s="605"/>
      <c r="T189" s="605"/>
      <c r="U189" s="605"/>
      <c r="V189" s="605"/>
      <c r="W189" s="605"/>
      <c r="X189" s="605"/>
      <c r="Y189" s="605"/>
      <c r="Z189" s="605"/>
      <c r="AA189" s="605"/>
      <c r="AB189" s="606"/>
    </row>
    <row r="190" spans="1:28">
      <c r="A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6"/>
    </row>
    <row r="191" spans="1:28">
      <c r="A191" s="605"/>
      <c r="D191" s="605"/>
      <c r="E191" s="605"/>
      <c r="F191" s="605"/>
      <c r="G191" s="605"/>
      <c r="H191" s="605"/>
      <c r="I191" s="605"/>
      <c r="J191" s="605"/>
      <c r="K191" s="605"/>
      <c r="L191" s="605"/>
      <c r="M191" s="605"/>
      <c r="N191" s="605"/>
      <c r="O191" s="605"/>
      <c r="P191" s="605"/>
      <c r="Q191" s="605"/>
      <c r="R191" s="605"/>
      <c r="S191" s="605"/>
      <c r="T191" s="605"/>
      <c r="U191" s="605"/>
      <c r="V191" s="605"/>
      <c r="W191" s="605"/>
      <c r="X191" s="605"/>
      <c r="Y191" s="605"/>
      <c r="Z191" s="605"/>
      <c r="AA191" s="605"/>
      <c r="AB191" s="606"/>
    </row>
    <row r="192" spans="1:28">
      <c r="A192" s="605"/>
      <c r="D192" s="605"/>
      <c r="E192" s="605"/>
      <c r="F192" s="605"/>
      <c r="G192" s="605"/>
      <c r="H192" s="605"/>
      <c r="I192" s="605"/>
      <c r="J192" s="605"/>
      <c r="K192" s="605"/>
      <c r="L192" s="605"/>
      <c r="M192" s="605"/>
      <c r="N192" s="605"/>
      <c r="O192" s="605"/>
      <c r="P192" s="605"/>
      <c r="Q192" s="605"/>
      <c r="R192" s="605"/>
      <c r="S192" s="605"/>
      <c r="T192" s="605"/>
      <c r="U192" s="605"/>
      <c r="V192" s="605"/>
      <c r="W192" s="605"/>
      <c r="X192" s="605"/>
      <c r="Y192" s="605"/>
      <c r="Z192" s="605"/>
      <c r="AA192" s="605"/>
      <c r="AB192" s="606"/>
    </row>
    <row r="193" spans="1:28">
      <c r="A193" s="605"/>
      <c r="D193" s="605"/>
      <c r="E193" s="605"/>
      <c r="F193" s="605"/>
      <c r="G193" s="605"/>
      <c r="H193" s="605"/>
      <c r="I193" s="605"/>
      <c r="J193" s="605"/>
      <c r="K193" s="605"/>
      <c r="L193" s="605"/>
      <c r="M193" s="605"/>
      <c r="N193" s="605"/>
      <c r="O193" s="605"/>
      <c r="P193" s="605"/>
      <c r="Q193" s="605"/>
      <c r="R193" s="605"/>
      <c r="S193" s="605"/>
      <c r="T193" s="605"/>
      <c r="U193" s="605"/>
      <c r="V193" s="605"/>
      <c r="W193" s="605"/>
      <c r="X193" s="605"/>
      <c r="Y193" s="605"/>
      <c r="Z193" s="605"/>
      <c r="AA193" s="605"/>
      <c r="AB193" s="606"/>
    </row>
    <row r="194" spans="1:28">
      <c r="A194" s="605"/>
      <c r="D194" s="605"/>
      <c r="E194" s="605"/>
      <c r="F194" s="605"/>
      <c r="G194" s="605"/>
      <c r="H194" s="605"/>
      <c r="I194" s="605"/>
      <c r="J194" s="605"/>
      <c r="K194" s="605"/>
      <c r="L194" s="605"/>
      <c r="M194" s="605"/>
      <c r="N194" s="605"/>
      <c r="O194" s="605"/>
      <c r="P194" s="605"/>
      <c r="Q194" s="605"/>
      <c r="R194" s="605"/>
      <c r="S194" s="605"/>
      <c r="T194" s="605"/>
      <c r="U194" s="605"/>
      <c r="V194" s="605"/>
      <c r="W194" s="605"/>
      <c r="X194" s="605"/>
      <c r="Y194" s="605"/>
      <c r="Z194" s="605"/>
      <c r="AA194" s="605"/>
      <c r="AB194" s="606"/>
    </row>
    <row r="195" spans="1:28">
      <c r="A195" s="605"/>
      <c r="D195" s="605"/>
      <c r="E195" s="605"/>
      <c r="F195" s="605"/>
      <c r="G195" s="605"/>
      <c r="H195" s="605"/>
      <c r="I195" s="605"/>
      <c r="J195" s="605"/>
      <c r="K195" s="605"/>
      <c r="L195" s="605"/>
      <c r="M195" s="605"/>
      <c r="N195" s="605"/>
      <c r="O195" s="605"/>
      <c r="P195" s="605"/>
      <c r="Q195" s="605"/>
      <c r="R195" s="605"/>
      <c r="S195" s="605"/>
      <c r="T195" s="605"/>
      <c r="U195" s="605"/>
      <c r="V195" s="605"/>
      <c r="W195" s="605"/>
      <c r="X195" s="605"/>
      <c r="Y195" s="605"/>
      <c r="Z195" s="605"/>
      <c r="AA195" s="605"/>
      <c r="AB195" s="606"/>
    </row>
    <row r="196" spans="1:28">
      <c r="A196" s="605"/>
      <c r="D196" s="605"/>
      <c r="E196" s="605"/>
      <c r="F196" s="605"/>
      <c r="G196" s="605"/>
      <c r="H196" s="605"/>
      <c r="I196" s="605"/>
      <c r="J196" s="605"/>
      <c r="K196" s="605"/>
      <c r="L196" s="605"/>
      <c r="M196" s="605"/>
      <c r="N196" s="605"/>
      <c r="O196" s="605"/>
      <c r="P196" s="605"/>
      <c r="Q196" s="605"/>
      <c r="R196" s="605"/>
      <c r="S196" s="605"/>
      <c r="T196" s="605"/>
      <c r="U196" s="605"/>
      <c r="V196" s="605"/>
      <c r="W196" s="605"/>
      <c r="X196" s="605"/>
      <c r="Y196" s="605"/>
      <c r="Z196" s="605"/>
      <c r="AA196" s="605"/>
      <c r="AB196" s="606"/>
    </row>
    <row r="197" spans="1:28">
      <c r="A197" s="605"/>
      <c r="D197" s="605"/>
      <c r="E197" s="605"/>
      <c r="F197" s="605"/>
      <c r="G197" s="605"/>
      <c r="H197" s="605"/>
      <c r="I197" s="605"/>
      <c r="J197" s="605"/>
      <c r="K197" s="605"/>
      <c r="L197" s="605"/>
      <c r="M197" s="605"/>
      <c r="N197" s="605"/>
      <c r="O197" s="605"/>
      <c r="P197" s="605"/>
      <c r="Q197" s="605"/>
      <c r="R197" s="605"/>
      <c r="S197" s="605"/>
      <c r="T197" s="605"/>
      <c r="U197" s="605"/>
      <c r="V197" s="605"/>
      <c r="W197" s="605"/>
      <c r="X197" s="605"/>
      <c r="Y197" s="605"/>
      <c r="Z197" s="605"/>
      <c r="AA197" s="605"/>
      <c r="AB197" s="606"/>
    </row>
    <row r="198" spans="1:28">
      <c r="A198" s="605"/>
      <c r="D198" s="605"/>
      <c r="E198" s="605"/>
      <c r="F198" s="605"/>
      <c r="G198" s="605"/>
      <c r="H198" s="605"/>
      <c r="I198" s="605"/>
      <c r="J198" s="605"/>
      <c r="K198" s="605"/>
      <c r="L198" s="605"/>
      <c r="M198" s="605"/>
      <c r="N198" s="605"/>
      <c r="O198" s="605"/>
      <c r="P198" s="605"/>
      <c r="Q198" s="605"/>
      <c r="R198" s="605"/>
      <c r="S198" s="605"/>
      <c r="T198" s="605"/>
      <c r="U198" s="605"/>
      <c r="V198" s="605"/>
      <c r="W198" s="605"/>
      <c r="X198" s="605"/>
      <c r="Y198" s="605"/>
      <c r="Z198" s="605"/>
      <c r="AA198" s="605"/>
      <c r="AB198" s="606"/>
    </row>
    <row r="199" spans="1:28">
      <c r="A199" s="605"/>
      <c r="D199" s="605"/>
      <c r="E199" s="605"/>
      <c r="F199" s="605"/>
      <c r="G199" s="605"/>
      <c r="H199" s="605"/>
      <c r="I199" s="605"/>
      <c r="J199" s="605"/>
      <c r="K199" s="605"/>
      <c r="L199" s="605"/>
      <c r="M199" s="605"/>
      <c r="N199" s="605"/>
      <c r="O199" s="605"/>
      <c r="P199" s="605"/>
      <c r="Q199" s="605"/>
      <c r="R199" s="605"/>
      <c r="S199" s="605"/>
      <c r="T199" s="605"/>
      <c r="U199" s="605"/>
      <c r="V199" s="605"/>
      <c r="W199" s="605"/>
      <c r="X199" s="605"/>
      <c r="Y199" s="605"/>
      <c r="Z199" s="605"/>
      <c r="AA199" s="605"/>
      <c r="AB199" s="606"/>
    </row>
    <row r="200" spans="1:28">
      <c r="A200" s="605"/>
      <c r="D200" s="605"/>
      <c r="E200" s="605"/>
      <c r="F200" s="605"/>
      <c r="G200" s="605"/>
      <c r="H200" s="605"/>
      <c r="I200" s="605"/>
      <c r="J200" s="605"/>
      <c r="K200" s="605"/>
      <c r="L200" s="605"/>
      <c r="M200" s="605"/>
      <c r="N200" s="605"/>
      <c r="O200" s="605"/>
      <c r="P200" s="605"/>
      <c r="Q200" s="605"/>
      <c r="R200" s="605"/>
      <c r="S200" s="605"/>
      <c r="T200" s="605"/>
      <c r="U200" s="605"/>
      <c r="V200" s="605"/>
      <c r="W200" s="605"/>
      <c r="X200" s="605"/>
      <c r="Y200" s="605"/>
      <c r="Z200" s="605"/>
      <c r="AA200" s="605"/>
      <c r="AB200" s="606"/>
    </row>
    <row r="201" spans="1:28">
      <c r="A201" s="605"/>
      <c r="D201" s="605"/>
      <c r="E201" s="605"/>
      <c r="F201" s="605"/>
      <c r="G201" s="605"/>
      <c r="H201" s="605"/>
      <c r="I201" s="605"/>
      <c r="J201" s="605"/>
      <c r="K201" s="605"/>
      <c r="L201" s="605"/>
      <c r="M201" s="605"/>
      <c r="N201" s="605"/>
      <c r="O201" s="605"/>
      <c r="P201" s="605"/>
      <c r="Q201" s="605"/>
      <c r="R201" s="605"/>
      <c r="S201" s="605"/>
      <c r="T201" s="605"/>
      <c r="U201" s="605"/>
      <c r="V201" s="605"/>
      <c r="W201" s="605"/>
      <c r="X201" s="605"/>
      <c r="Y201" s="605"/>
      <c r="Z201" s="605"/>
      <c r="AA201" s="605"/>
      <c r="AB201" s="606"/>
    </row>
    <row r="202" spans="1:28">
      <c r="A202" s="605"/>
      <c r="D202" s="605"/>
      <c r="E202" s="605"/>
      <c r="F202" s="605"/>
      <c r="G202" s="605"/>
      <c r="H202" s="605"/>
      <c r="I202" s="605"/>
      <c r="J202" s="605"/>
      <c r="K202" s="605"/>
      <c r="L202" s="605"/>
      <c r="M202" s="605"/>
      <c r="N202" s="605"/>
      <c r="O202" s="605"/>
      <c r="P202" s="605"/>
      <c r="Q202" s="605"/>
      <c r="R202" s="605"/>
      <c r="S202" s="605"/>
      <c r="T202" s="605"/>
      <c r="U202" s="605"/>
      <c r="V202" s="605"/>
      <c r="W202" s="605"/>
      <c r="X202" s="605"/>
      <c r="Y202" s="605"/>
      <c r="Z202" s="605"/>
      <c r="AA202" s="605"/>
      <c r="AB202" s="606"/>
    </row>
    <row r="203" spans="1:28">
      <c r="A203" s="605"/>
      <c r="D203" s="605"/>
      <c r="E203" s="605"/>
      <c r="F203" s="605"/>
      <c r="G203" s="605"/>
      <c r="H203" s="605"/>
      <c r="I203" s="605"/>
      <c r="J203" s="605"/>
      <c r="K203" s="605"/>
      <c r="L203" s="605"/>
      <c r="M203" s="605"/>
      <c r="N203" s="605"/>
      <c r="O203" s="605"/>
      <c r="P203" s="605"/>
      <c r="Q203" s="605"/>
      <c r="R203" s="605"/>
      <c r="S203" s="605"/>
      <c r="T203" s="605"/>
      <c r="U203" s="605"/>
      <c r="V203" s="605"/>
      <c r="W203" s="605"/>
      <c r="X203" s="605"/>
      <c r="Y203" s="605"/>
      <c r="Z203" s="605"/>
      <c r="AA203" s="605"/>
      <c r="AB203" s="606"/>
    </row>
    <row r="204" spans="1:28">
      <c r="A204" s="605"/>
      <c r="D204" s="605"/>
      <c r="E204" s="605"/>
      <c r="F204" s="605"/>
      <c r="G204" s="605"/>
      <c r="H204" s="605"/>
      <c r="I204" s="605"/>
      <c r="J204" s="605"/>
      <c r="K204" s="605"/>
      <c r="L204" s="605"/>
      <c r="M204" s="605"/>
      <c r="N204" s="605"/>
      <c r="O204" s="605"/>
      <c r="P204" s="605"/>
      <c r="Q204" s="605"/>
      <c r="R204" s="605"/>
      <c r="S204" s="605"/>
      <c r="T204" s="605"/>
      <c r="U204" s="605"/>
      <c r="V204" s="605"/>
      <c r="W204" s="605"/>
      <c r="X204" s="605"/>
      <c r="Y204" s="605"/>
      <c r="Z204" s="605"/>
      <c r="AA204" s="605"/>
      <c r="AB204" s="606"/>
    </row>
    <row r="205" spans="1:28">
      <c r="A205" s="605"/>
      <c r="D205" s="605"/>
      <c r="E205" s="605"/>
      <c r="F205" s="605"/>
      <c r="G205" s="605"/>
      <c r="H205" s="605"/>
      <c r="I205" s="605"/>
      <c r="J205" s="605"/>
      <c r="K205" s="605"/>
      <c r="L205" s="605"/>
      <c r="M205" s="605"/>
      <c r="N205" s="605"/>
      <c r="O205" s="605"/>
      <c r="P205" s="605"/>
      <c r="Q205" s="605"/>
      <c r="R205" s="605"/>
      <c r="S205" s="605"/>
      <c r="T205" s="605"/>
      <c r="U205" s="605"/>
      <c r="V205" s="605"/>
      <c r="W205" s="605"/>
      <c r="X205" s="605"/>
      <c r="Y205" s="605"/>
      <c r="Z205" s="605"/>
      <c r="AA205" s="605"/>
      <c r="AB205" s="606"/>
    </row>
    <row r="206" spans="1:28">
      <c r="A206" s="605"/>
      <c r="D206" s="605"/>
      <c r="E206" s="605"/>
      <c r="F206" s="605"/>
      <c r="G206" s="605"/>
      <c r="H206" s="605"/>
      <c r="I206" s="605"/>
      <c r="J206" s="605"/>
      <c r="K206" s="605"/>
      <c r="L206" s="605"/>
      <c r="M206" s="605"/>
      <c r="N206" s="605"/>
      <c r="O206" s="605"/>
      <c r="P206" s="605"/>
      <c r="Q206" s="605"/>
      <c r="R206" s="605"/>
      <c r="S206" s="605"/>
      <c r="T206" s="605"/>
      <c r="U206" s="605"/>
      <c r="V206" s="605"/>
      <c r="W206" s="605"/>
      <c r="X206" s="605"/>
      <c r="Y206" s="605"/>
      <c r="Z206" s="605"/>
      <c r="AA206" s="605"/>
      <c r="AB206" s="606"/>
    </row>
    <row r="207" spans="1:28">
      <c r="A207" s="605"/>
      <c r="D207" s="605"/>
      <c r="E207" s="605"/>
      <c r="F207" s="605"/>
      <c r="G207" s="605"/>
      <c r="H207" s="605"/>
      <c r="I207" s="605"/>
      <c r="J207" s="605"/>
      <c r="K207" s="605"/>
      <c r="L207" s="605"/>
      <c r="M207" s="605"/>
      <c r="N207" s="605"/>
      <c r="O207" s="605"/>
      <c r="P207" s="605"/>
      <c r="Q207" s="605"/>
      <c r="R207" s="605"/>
      <c r="S207" s="605"/>
      <c r="T207" s="605"/>
      <c r="U207" s="605"/>
      <c r="V207" s="605"/>
      <c r="W207" s="605"/>
      <c r="X207" s="605"/>
      <c r="Y207" s="605"/>
      <c r="Z207" s="605"/>
      <c r="AA207" s="605"/>
      <c r="AB207" s="606"/>
    </row>
    <row r="208" spans="1:28">
      <c r="A208" s="605"/>
      <c r="D208" s="605"/>
      <c r="E208" s="605"/>
      <c r="F208" s="605"/>
      <c r="G208" s="605"/>
      <c r="H208" s="605"/>
      <c r="I208" s="605"/>
      <c r="J208" s="605"/>
      <c r="K208" s="605"/>
      <c r="L208" s="605"/>
      <c r="M208" s="605"/>
      <c r="N208" s="605"/>
      <c r="O208" s="605"/>
      <c r="P208" s="605"/>
      <c r="Q208" s="605"/>
      <c r="R208" s="605"/>
      <c r="S208" s="605"/>
      <c r="T208" s="605"/>
      <c r="U208" s="605"/>
      <c r="V208" s="605"/>
      <c r="W208" s="605"/>
      <c r="X208" s="605"/>
      <c r="Y208" s="605"/>
      <c r="Z208" s="605"/>
      <c r="AA208" s="605"/>
      <c r="AB208" s="606"/>
    </row>
    <row r="209" spans="1:28">
      <c r="A209" s="605"/>
      <c r="D209" s="605"/>
      <c r="E209" s="605"/>
      <c r="F209" s="605"/>
      <c r="G209" s="605"/>
      <c r="H209" s="605"/>
      <c r="I209" s="605"/>
      <c r="J209" s="605"/>
      <c r="K209" s="605"/>
      <c r="L209" s="605"/>
      <c r="M209" s="605"/>
      <c r="N209" s="605"/>
      <c r="O209" s="605"/>
      <c r="P209" s="605"/>
      <c r="Q209" s="605"/>
      <c r="R209" s="605"/>
      <c r="S209" s="605"/>
      <c r="T209" s="605"/>
      <c r="U209" s="605"/>
      <c r="V209" s="605"/>
      <c r="W209" s="605"/>
      <c r="X209" s="605"/>
      <c r="Y209" s="605"/>
      <c r="Z209" s="605"/>
      <c r="AA209" s="605"/>
      <c r="AB209" s="606"/>
    </row>
    <row r="210" spans="1:28">
      <c r="A210" s="605"/>
      <c r="D210" s="605"/>
      <c r="E210" s="605"/>
      <c r="F210" s="605"/>
      <c r="G210" s="605"/>
      <c r="H210" s="605"/>
      <c r="I210" s="605"/>
      <c r="J210" s="605"/>
      <c r="K210" s="605"/>
      <c r="L210" s="605"/>
      <c r="M210" s="605"/>
      <c r="N210" s="605"/>
      <c r="O210" s="605"/>
      <c r="P210" s="605"/>
      <c r="Q210" s="605"/>
      <c r="R210" s="605"/>
      <c r="S210" s="605"/>
      <c r="T210" s="605"/>
      <c r="U210" s="605"/>
      <c r="V210" s="605"/>
      <c r="W210" s="605"/>
      <c r="X210" s="605"/>
      <c r="Y210" s="605"/>
      <c r="Z210" s="605"/>
      <c r="AA210" s="605"/>
      <c r="AB210" s="606"/>
    </row>
    <row r="211" spans="1:28">
      <c r="A211" s="605"/>
      <c r="D211" s="605"/>
      <c r="E211" s="605"/>
      <c r="F211" s="605"/>
      <c r="G211" s="605"/>
      <c r="H211" s="605"/>
      <c r="I211" s="605"/>
      <c r="J211" s="605"/>
      <c r="K211" s="605"/>
      <c r="L211" s="605"/>
      <c r="M211" s="605"/>
      <c r="N211" s="605"/>
      <c r="O211" s="605"/>
      <c r="P211" s="605"/>
      <c r="Q211" s="605"/>
      <c r="R211" s="605"/>
      <c r="S211" s="605"/>
      <c r="T211" s="605"/>
      <c r="U211" s="605"/>
      <c r="V211" s="605"/>
      <c r="W211" s="605"/>
      <c r="X211" s="605"/>
      <c r="Y211" s="605"/>
      <c r="Z211" s="605"/>
      <c r="AA211" s="605"/>
      <c r="AB211" s="606"/>
    </row>
    <row r="212" spans="1:28">
      <c r="A212" s="605"/>
      <c r="D212" s="605"/>
      <c r="E212" s="605"/>
      <c r="F212" s="605"/>
      <c r="G212" s="605"/>
      <c r="H212" s="605"/>
      <c r="I212" s="605"/>
      <c r="J212" s="605"/>
      <c r="K212" s="605"/>
      <c r="L212" s="605"/>
      <c r="M212" s="605"/>
      <c r="N212" s="605"/>
      <c r="O212" s="605"/>
      <c r="P212" s="605"/>
      <c r="Q212" s="605"/>
      <c r="R212" s="605"/>
      <c r="S212" s="605"/>
      <c r="T212" s="605"/>
      <c r="U212" s="605"/>
      <c r="V212" s="605"/>
      <c r="W212" s="605"/>
      <c r="X212" s="605"/>
      <c r="Y212" s="605"/>
      <c r="Z212" s="605"/>
      <c r="AA212" s="605"/>
      <c r="AB212" s="606"/>
    </row>
    <row r="213" spans="1:28">
      <c r="A213" s="605"/>
      <c r="D213" s="605"/>
      <c r="E213" s="605"/>
      <c r="F213" s="605"/>
      <c r="G213" s="605"/>
      <c r="H213" s="605"/>
      <c r="I213" s="605"/>
      <c r="J213" s="605"/>
      <c r="K213" s="605"/>
      <c r="L213" s="605"/>
      <c r="M213" s="605"/>
      <c r="N213" s="605"/>
      <c r="O213" s="605"/>
      <c r="P213" s="605"/>
      <c r="Q213" s="605"/>
      <c r="R213" s="605"/>
      <c r="S213" s="605"/>
      <c r="T213" s="605"/>
      <c r="U213" s="605"/>
      <c r="V213" s="605"/>
      <c r="W213" s="605"/>
      <c r="X213" s="605"/>
      <c r="Y213" s="605"/>
      <c r="Z213" s="605"/>
      <c r="AA213" s="605"/>
      <c r="AB213" s="606"/>
    </row>
    <row r="214" spans="1:28">
      <c r="A214" s="605"/>
      <c r="D214" s="605"/>
      <c r="E214" s="605"/>
      <c r="F214" s="605"/>
      <c r="G214" s="605"/>
      <c r="H214" s="605"/>
      <c r="I214" s="605"/>
      <c r="J214" s="605"/>
      <c r="K214" s="605"/>
      <c r="L214" s="605"/>
      <c r="M214" s="605"/>
      <c r="N214" s="605"/>
      <c r="O214" s="605"/>
      <c r="P214" s="605"/>
      <c r="Q214" s="605"/>
      <c r="R214" s="605"/>
      <c r="S214" s="605"/>
      <c r="T214" s="605"/>
      <c r="U214" s="605"/>
      <c r="V214" s="605"/>
      <c r="W214" s="605"/>
      <c r="X214" s="605"/>
      <c r="Y214" s="605"/>
      <c r="Z214" s="605"/>
      <c r="AA214" s="605"/>
      <c r="AB214" s="606"/>
    </row>
    <row r="215" spans="1:28">
      <c r="A215" s="605"/>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6"/>
    </row>
    <row r="216" spans="1:28">
      <c r="A216" s="605"/>
      <c r="D216" s="605"/>
      <c r="E216" s="605"/>
      <c r="F216" s="605"/>
      <c r="G216" s="605"/>
      <c r="H216" s="605"/>
      <c r="I216" s="605"/>
      <c r="J216" s="605"/>
      <c r="K216" s="605"/>
      <c r="L216" s="605"/>
      <c r="M216" s="605"/>
      <c r="N216" s="605"/>
      <c r="O216" s="605"/>
      <c r="P216" s="605"/>
      <c r="Q216" s="605"/>
      <c r="R216" s="605"/>
      <c r="S216" s="605"/>
      <c r="T216" s="605"/>
      <c r="U216" s="605"/>
      <c r="V216" s="605"/>
      <c r="W216" s="605"/>
      <c r="X216" s="605"/>
      <c r="Y216" s="605"/>
      <c r="Z216" s="605"/>
      <c r="AA216" s="605"/>
      <c r="AB216" s="606"/>
    </row>
    <row r="217" spans="1:28">
      <c r="A217" s="605"/>
      <c r="D217" s="605"/>
      <c r="E217" s="605"/>
      <c r="F217" s="605"/>
      <c r="G217" s="605"/>
      <c r="H217" s="605"/>
      <c r="I217" s="605"/>
      <c r="J217" s="605"/>
      <c r="K217" s="605"/>
      <c r="L217" s="605"/>
      <c r="M217" s="605"/>
      <c r="N217" s="605"/>
      <c r="O217" s="605"/>
      <c r="P217" s="605"/>
      <c r="Q217" s="605"/>
      <c r="R217" s="605"/>
      <c r="S217" s="605"/>
      <c r="T217" s="605"/>
      <c r="U217" s="605"/>
      <c r="V217" s="605"/>
      <c r="W217" s="605"/>
      <c r="X217" s="605"/>
      <c r="Y217" s="605"/>
      <c r="Z217" s="605"/>
      <c r="AA217" s="605"/>
      <c r="AB217" s="606"/>
    </row>
    <row r="218" spans="1:28">
      <c r="A218" s="605"/>
      <c r="D218" s="605"/>
      <c r="E218" s="605"/>
      <c r="F218" s="605"/>
      <c r="G218" s="605"/>
      <c r="H218" s="605"/>
      <c r="I218" s="605"/>
      <c r="J218" s="605"/>
      <c r="K218" s="605"/>
      <c r="L218" s="605"/>
      <c r="M218" s="605"/>
      <c r="N218" s="605"/>
      <c r="O218" s="605"/>
      <c r="P218" s="605"/>
      <c r="Q218" s="605"/>
      <c r="R218" s="605"/>
      <c r="S218" s="605"/>
      <c r="T218" s="605"/>
      <c r="U218" s="605"/>
      <c r="V218" s="605"/>
      <c r="W218" s="605"/>
      <c r="X218" s="605"/>
      <c r="Y218" s="605"/>
      <c r="Z218" s="605"/>
      <c r="AA218" s="605"/>
      <c r="AB218" s="606"/>
    </row>
    <row r="219" spans="1:28">
      <c r="A219" s="605"/>
      <c r="D219" s="605"/>
      <c r="E219" s="605"/>
      <c r="F219" s="605"/>
      <c r="G219" s="605"/>
      <c r="H219" s="605"/>
      <c r="I219" s="605"/>
      <c r="J219" s="605"/>
      <c r="K219" s="605"/>
      <c r="L219" s="605"/>
      <c r="M219" s="605"/>
      <c r="N219" s="605"/>
      <c r="O219" s="605"/>
      <c r="P219" s="605"/>
      <c r="Q219" s="605"/>
      <c r="R219" s="605"/>
      <c r="S219" s="605"/>
      <c r="T219" s="605"/>
      <c r="U219" s="605"/>
      <c r="V219" s="605"/>
      <c r="W219" s="605"/>
      <c r="X219" s="605"/>
      <c r="Y219" s="605"/>
      <c r="Z219" s="605"/>
      <c r="AA219" s="605"/>
      <c r="AB219" s="606"/>
    </row>
    <row r="220" spans="1:28">
      <c r="A220" s="605"/>
      <c r="D220" s="605"/>
      <c r="E220" s="605"/>
      <c r="F220" s="605"/>
      <c r="G220" s="605"/>
      <c r="H220" s="605"/>
      <c r="I220" s="605"/>
      <c r="J220" s="605"/>
      <c r="K220" s="605"/>
      <c r="L220" s="605"/>
      <c r="M220" s="605"/>
      <c r="N220" s="605"/>
      <c r="O220" s="605"/>
      <c r="P220" s="605"/>
      <c r="Q220" s="605"/>
      <c r="R220" s="605"/>
      <c r="S220" s="605"/>
      <c r="T220" s="605"/>
      <c r="U220" s="605"/>
      <c r="V220" s="605"/>
      <c r="W220" s="605"/>
      <c r="X220" s="605"/>
      <c r="Y220" s="605"/>
      <c r="Z220" s="605"/>
      <c r="AA220" s="605"/>
      <c r="AB220" s="606"/>
    </row>
    <row r="221" spans="1:28">
      <c r="A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6"/>
    </row>
    <row r="222" spans="1:28">
      <c r="A222" s="605"/>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6"/>
    </row>
    <row r="223" spans="1:28">
      <c r="A223" s="605"/>
      <c r="D223" s="605"/>
      <c r="E223" s="605"/>
      <c r="F223" s="605"/>
      <c r="G223" s="605"/>
      <c r="H223" s="605"/>
      <c r="I223" s="605"/>
      <c r="J223" s="605"/>
      <c r="K223" s="605"/>
      <c r="L223" s="605"/>
      <c r="M223" s="605"/>
      <c r="N223" s="605"/>
      <c r="O223" s="605"/>
      <c r="P223" s="605"/>
      <c r="Q223" s="605"/>
      <c r="R223" s="605"/>
      <c r="S223" s="605"/>
      <c r="T223" s="605"/>
      <c r="U223" s="605"/>
      <c r="V223" s="605"/>
      <c r="W223" s="605"/>
      <c r="X223" s="605"/>
      <c r="Y223" s="605"/>
      <c r="Z223" s="605"/>
      <c r="AA223" s="605"/>
      <c r="AB223" s="606"/>
    </row>
    <row r="224" spans="1:28">
      <c r="A224" s="605"/>
      <c r="D224" s="605"/>
      <c r="E224" s="605"/>
      <c r="F224" s="605"/>
      <c r="G224" s="605"/>
      <c r="H224" s="605"/>
      <c r="I224" s="605"/>
      <c r="J224" s="605"/>
      <c r="K224" s="605"/>
      <c r="L224" s="605"/>
      <c r="M224" s="605"/>
      <c r="N224" s="605"/>
      <c r="O224" s="605"/>
      <c r="P224" s="605"/>
      <c r="Q224" s="605"/>
      <c r="R224" s="605"/>
      <c r="S224" s="605"/>
      <c r="T224" s="605"/>
      <c r="U224" s="605"/>
      <c r="V224" s="605"/>
      <c r="W224" s="605"/>
      <c r="X224" s="605"/>
      <c r="Y224" s="605"/>
      <c r="Z224" s="605"/>
      <c r="AA224" s="605"/>
      <c r="AB224" s="606"/>
    </row>
    <row r="225" spans="1:28">
      <c r="A225" s="605"/>
      <c r="D225" s="605"/>
      <c r="E225" s="605"/>
      <c r="F225" s="605"/>
      <c r="G225" s="605"/>
      <c r="H225" s="605"/>
      <c r="I225" s="605"/>
      <c r="J225" s="605"/>
      <c r="K225" s="605"/>
      <c r="L225" s="605"/>
      <c r="M225" s="605"/>
      <c r="N225" s="605"/>
      <c r="O225" s="605"/>
      <c r="P225" s="605"/>
      <c r="Q225" s="605"/>
      <c r="R225" s="605"/>
      <c r="S225" s="605"/>
      <c r="T225" s="605"/>
      <c r="U225" s="605"/>
      <c r="V225" s="605"/>
      <c r="W225" s="605"/>
      <c r="X225" s="605"/>
      <c r="Y225" s="605"/>
      <c r="Z225" s="605"/>
      <c r="AA225" s="605"/>
      <c r="AB225" s="606"/>
    </row>
    <row r="226" spans="1:28">
      <c r="A226" s="605"/>
      <c r="D226" s="605"/>
      <c r="E226" s="605"/>
      <c r="F226" s="605"/>
      <c r="G226" s="605"/>
      <c r="H226" s="605"/>
      <c r="I226" s="605"/>
      <c r="J226" s="605"/>
      <c r="K226" s="605"/>
      <c r="L226" s="605"/>
      <c r="M226" s="605"/>
      <c r="N226" s="605"/>
      <c r="O226" s="605"/>
      <c r="P226" s="605"/>
      <c r="Q226" s="605"/>
      <c r="R226" s="605"/>
      <c r="S226" s="605"/>
      <c r="T226" s="605"/>
      <c r="U226" s="605"/>
      <c r="V226" s="605"/>
      <c r="W226" s="605"/>
      <c r="X226" s="605"/>
      <c r="Y226" s="605"/>
      <c r="Z226" s="605"/>
      <c r="AA226" s="605"/>
      <c r="AB226" s="606"/>
    </row>
    <row r="227" spans="1:28">
      <c r="A227" s="605"/>
      <c r="D227" s="605"/>
      <c r="E227" s="605"/>
      <c r="F227" s="605"/>
      <c r="G227" s="605"/>
      <c r="H227" s="605"/>
      <c r="I227" s="605"/>
      <c r="J227" s="605"/>
      <c r="K227" s="605"/>
      <c r="L227" s="605"/>
      <c r="M227" s="605"/>
      <c r="N227" s="605"/>
      <c r="O227" s="605"/>
      <c r="P227" s="605"/>
      <c r="Q227" s="605"/>
      <c r="R227" s="605"/>
      <c r="S227" s="605"/>
      <c r="T227" s="605"/>
      <c r="U227" s="605"/>
      <c r="V227" s="605"/>
      <c r="W227" s="605"/>
      <c r="X227" s="605"/>
      <c r="Y227" s="605"/>
      <c r="Z227" s="605"/>
      <c r="AA227" s="605"/>
      <c r="AB227" s="606"/>
    </row>
    <row r="228" spans="1:28">
      <c r="A228" s="605"/>
      <c r="D228" s="605"/>
      <c r="E228" s="605"/>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6"/>
    </row>
    <row r="229" spans="1:28">
      <c r="A229" s="605"/>
      <c r="D229" s="605"/>
      <c r="E229" s="605"/>
      <c r="F229" s="605"/>
      <c r="G229" s="605"/>
      <c r="H229" s="605"/>
      <c r="I229" s="605"/>
      <c r="J229" s="605"/>
      <c r="K229" s="605"/>
      <c r="L229" s="605"/>
      <c r="M229" s="605"/>
      <c r="N229" s="605"/>
      <c r="O229" s="605"/>
      <c r="P229" s="605"/>
      <c r="Q229" s="605"/>
      <c r="R229" s="605"/>
      <c r="S229" s="605"/>
      <c r="T229" s="605"/>
      <c r="U229" s="605"/>
      <c r="V229" s="605"/>
      <c r="W229" s="605"/>
      <c r="X229" s="605"/>
      <c r="Y229" s="605"/>
      <c r="Z229" s="605"/>
      <c r="AA229" s="605"/>
      <c r="AB229" s="606"/>
    </row>
    <row r="230" spans="1:28">
      <c r="A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6"/>
    </row>
    <row r="231" spans="1:28">
      <c r="A231" s="605"/>
      <c r="D231" s="605"/>
      <c r="E231" s="605"/>
      <c r="F231" s="605"/>
      <c r="G231" s="605"/>
      <c r="H231" s="605"/>
      <c r="I231" s="605"/>
      <c r="J231" s="605"/>
      <c r="K231" s="605"/>
      <c r="L231" s="605"/>
      <c r="M231" s="605"/>
      <c r="N231" s="605"/>
      <c r="O231" s="605"/>
      <c r="P231" s="605"/>
      <c r="Q231" s="605"/>
      <c r="R231" s="605"/>
      <c r="S231" s="605"/>
      <c r="T231" s="605"/>
      <c r="U231" s="605"/>
      <c r="V231" s="605"/>
      <c r="W231" s="605"/>
      <c r="X231" s="605"/>
      <c r="Y231" s="605"/>
      <c r="Z231" s="605"/>
      <c r="AA231" s="605"/>
      <c r="AB231" s="606"/>
    </row>
    <row r="232" spans="1:28">
      <c r="A232" s="605"/>
      <c r="D232" s="605"/>
      <c r="E232" s="605"/>
      <c r="F232" s="605"/>
      <c r="G232" s="605"/>
      <c r="H232" s="605"/>
      <c r="I232" s="605"/>
      <c r="J232" s="605"/>
      <c r="K232" s="605"/>
      <c r="L232" s="605"/>
      <c r="M232" s="605"/>
      <c r="N232" s="605"/>
      <c r="O232" s="605"/>
      <c r="P232" s="605"/>
      <c r="Q232" s="605"/>
      <c r="R232" s="605"/>
      <c r="S232" s="605"/>
      <c r="T232" s="605"/>
      <c r="U232" s="605"/>
      <c r="V232" s="605"/>
      <c r="W232" s="605"/>
      <c r="X232" s="605"/>
      <c r="Y232" s="605"/>
      <c r="Z232" s="605"/>
      <c r="AA232" s="605"/>
      <c r="AB232" s="606"/>
    </row>
    <row r="233" spans="1:28">
      <c r="A233" s="605"/>
      <c r="D233" s="605"/>
      <c r="E233" s="605"/>
      <c r="F233" s="605"/>
      <c r="G233" s="605"/>
      <c r="H233" s="605"/>
      <c r="I233" s="605"/>
      <c r="J233" s="605"/>
      <c r="K233" s="605"/>
      <c r="L233" s="605"/>
      <c r="M233" s="605"/>
      <c r="N233" s="605"/>
      <c r="O233" s="605"/>
      <c r="P233" s="605"/>
      <c r="Q233" s="605"/>
      <c r="R233" s="605"/>
      <c r="S233" s="605"/>
      <c r="T233" s="605"/>
      <c r="U233" s="605"/>
      <c r="V233" s="605"/>
      <c r="W233" s="605"/>
      <c r="X233" s="605"/>
      <c r="Y233" s="605"/>
      <c r="Z233" s="605"/>
      <c r="AA233" s="605"/>
      <c r="AB233" s="606"/>
    </row>
    <row r="234" spans="1:28">
      <c r="A234" s="605"/>
      <c r="D234" s="605"/>
      <c r="E234" s="605"/>
      <c r="F234" s="605"/>
      <c r="G234" s="605"/>
      <c r="H234" s="605"/>
      <c r="I234" s="605"/>
      <c r="J234" s="605"/>
      <c r="K234" s="605"/>
      <c r="L234" s="605"/>
      <c r="M234" s="605"/>
      <c r="N234" s="605"/>
      <c r="O234" s="605"/>
      <c r="P234" s="605"/>
      <c r="Q234" s="605"/>
      <c r="R234" s="605"/>
      <c r="S234" s="605"/>
      <c r="T234" s="605"/>
      <c r="U234" s="605"/>
      <c r="V234" s="605"/>
      <c r="W234" s="605"/>
      <c r="X234" s="605"/>
      <c r="Y234" s="605"/>
      <c r="Z234" s="605"/>
      <c r="AA234" s="605"/>
      <c r="AB234" s="606"/>
    </row>
    <row r="235" spans="1:28">
      <c r="A235" s="605"/>
      <c r="D235" s="605"/>
      <c r="E235" s="605"/>
      <c r="F235" s="605"/>
      <c r="G235" s="605"/>
      <c r="H235" s="605"/>
      <c r="I235" s="605"/>
      <c r="J235" s="605"/>
      <c r="K235" s="605"/>
      <c r="L235" s="605"/>
      <c r="M235" s="605"/>
      <c r="N235" s="605"/>
      <c r="O235" s="605"/>
      <c r="P235" s="605"/>
      <c r="Q235" s="605"/>
      <c r="R235" s="605"/>
      <c r="S235" s="605"/>
      <c r="T235" s="605"/>
      <c r="U235" s="605"/>
      <c r="V235" s="605"/>
      <c r="W235" s="605"/>
      <c r="X235" s="605"/>
      <c r="Y235" s="605"/>
      <c r="Z235" s="605"/>
      <c r="AA235" s="605"/>
      <c r="AB235" s="606"/>
    </row>
    <row r="236" spans="1:28">
      <c r="A236" s="605"/>
      <c r="D236" s="605"/>
      <c r="E236" s="605"/>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6"/>
    </row>
    <row r="237" spans="1:28">
      <c r="A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6"/>
    </row>
    <row r="238" spans="1:28">
      <c r="A238" s="605"/>
      <c r="D238" s="605"/>
      <c r="E238" s="605"/>
      <c r="F238" s="605"/>
      <c r="G238" s="605"/>
      <c r="H238" s="605"/>
      <c r="I238" s="605"/>
      <c r="J238" s="605"/>
      <c r="K238" s="605"/>
      <c r="L238" s="605"/>
      <c r="M238" s="605"/>
      <c r="N238" s="605"/>
      <c r="O238" s="605"/>
      <c r="P238" s="605"/>
      <c r="Q238" s="605"/>
      <c r="R238" s="605"/>
      <c r="S238" s="605"/>
      <c r="T238" s="605"/>
      <c r="U238" s="605"/>
      <c r="V238" s="605"/>
      <c r="W238" s="605"/>
      <c r="X238" s="605"/>
      <c r="Y238" s="605"/>
      <c r="Z238" s="605"/>
      <c r="AA238" s="605"/>
      <c r="AB238" s="606"/>
    </row>
    <row r="239" spans="1:28">
      <c r="A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6"/>
    </row>
    <row r="240" spans="1:28">
      <c r="A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6"/>
    </row>
    <row r="241" spans="1:28">
      <c r="A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6"/>
    </row>
    <row r="242" spans="1:28">
      <c r="A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6"/>
    </row>
    <row r="243" spans="1:28">
      <c r="A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6"/>
    </row>
    <row r="244" spans="1:28">
      <c r="A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6"/>
    </row>
    <row r="245" spans="1:28">
      <c r="A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6"/>
    </row>
    <row r="246" spans="1:28">
      <c r="A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6"/>
    </row>
    <row r="247" spans="1:28">
      <c r="A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6"/>
    </row>
    <row r="248" spans="1:28">
      <c r="A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6"/>
    </row>
    <row r="249" spans="1:28">
      <c r="A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6"/>
    </row>
    <row r="250" spans="1:28">
      <c r="A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6"/>
    </row>
    <row r="251" spans="1:28">
      <c r="A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6"/>
    </row>
    <row r="252" spans="1:28">
      <c r="A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6"/>
    </row>
    <row r="253" spans="1:28">
      <c r="A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6"/>
    </row>
    <row r="254" spans="1:28">
      <c r="A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6"/>
    </row>
    <row r="255" spans="1:28">
      <c r="A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6"/>
    </row>
    <row r="256" spans="1:28">
      <c r="A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6"/>
    </row>
    <row r="257" spans="1:28">
      <c r="A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6"/>
    </row>
    <row r="258" spans="1:28">
      <c r="A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6"/>
    </row>
    <row r="259" spans="1:28">
      <c r="A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6"/>
    </row>
    <row r="260" spans="1:28">
      <c r="A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6"/>
    </row>
    <row r="261" spans="1:28">
      <c r="A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6"/>
    </row>
    <row r="262" spans="1:28">
      <c r="A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6"/>
    </row>
    <row r="263" spans="1:28">
      <c r="A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6"/>
    </row>
    <row r="264" spans="1:28">
      <c r="A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6"/>
    </row>
    <row r="265" spans="1:28">
      <c r="A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6"/>
    </row>
    <row r="266" spans="1:28">
      <c r="A266" s="605"/>
      <c r="D266" s="605"/>
      <c r="E266" s="605"/>
      <c r="F266" s="605"/>
      <c r="G266" s="605"/>
      <c r="H266" s="605"/>
      <c r="I266" s="605"/>
      <c r="J266" s="605"/>
      <c r="K266" s="605"/>
      <c r="L266" s="605"/>
      <c r="M266" s="605"/>
      <c r="N266" s="605"/>
      <c r="O266" s="605"/>
      <c r="P266" s="605"/>
      <c r="Q266" s="605"/>
      <c r="R266" s="605"/>
      <c r="S266" s="605"/>
      <c r="T266" s="605"/>
      <c r="U266" s="605"/>
      <c r="V266" s="605"/>
      <c r="W266" s="605"/>
      <c r="X266" s="605"/>
      <c r="Y266" s="605"/>
      <c r="Z266" s="605"/>
      <c r="AA266" s="605"/>
      <c r="AB266" s="606"/>
    </row>
    <row r="267" spans="1:28">
      <c r="A267" s="605"/>
      <c r="D267" s="605"/>
      <c r="E267" s="605"/>
      <c r="F267" s="605"/>
      <c r="G267" s="605"/>
      <c r="H267" s="605"/>
      <c r="I267" s="605"/>
      <c r="J267" s="605"/>
      <c r="K267" s="605"/>
      <c r="L267" s="605"/>
      <c r="M267" s="605"/>
      <c r="N267" s="605"/>
      <c r="O267" s="605"/>
      <c r="P267" s="605"/>
      <c r="Q267" s="605"/>
      <c r="R267" s="605"/>
      <c r="S267" s="605"/>
      <c r="T267" s="605"/>
      <c r="U267" s="605"/>
      <c r="V267" s="605"/>
      <c r="W267" s="605"/>
      <c r="X267" s="605"/>
      <c r="Y267" s="605"/>
      <c r="Z267" s="605"/>
      <c r="AA267" s="605"/>
      <c r="AB267" s="606"/>
    </row>
    <row r="268" spans="1:28">
      <c r="A268" s="605"/>
      <c r="D268" s="605"/>
      <c r="E268" s="605"/>
      <c r="F268" s="605"/>
      <c r="G268" s="605"/>
      <c r="H268" s="605"/>
      <c r="I268" s="605"/>
      <c r="J268" s="605"/>
      <c r="K268" s="605"/>
      <c r="L268" s="605"/>
      <c r="M268" s="605"/>
      <c r="N268" s="605"/>
      <c r="O268" s="605"/>
      <c r="P268" s="605"/>
      <c r="Q268" s="605"/>
      <c r="R268" s="605"/>
      <c r="S268" s="605"/>
      <c r="T268" s="605"/>
      <c r="U268" s="605"/>
      <c r="V268" s="605"/>
      <c r="W268" s="605"/>
      <c r="X268" s="605"/>
      <c r="Y268" s="605"/>
      <c r="Z268" s="605"/>
      <c r="AA268" s="605"/>
      <c r="AB268" s="606"/>
    </row>
    <row r="269" spans="1:28">
      <c r="A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6"/>
    </row>
    <row r="270" spans="1:28">
      <c r="A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6"/>
    </row>
    <row r="271" spans="1:28">
      <c r="A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6"/>
    </row>
    <row r="272" spans="1:28">
      <c r="A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6"/>
    </row>
    <row r="273" spans="1:28">
      <c r="A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6"/>
    </row>
    <row r="274" spans="1:28">
      <c r="A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6"/>
    </row>
    <row r="275" spans="1:28">
      <c r="A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6"/>
    </row>
    <row r="276" spans="1:28">
      <c r="A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6"/>
    </row>
    <row r="277" spans="1:28">
      <c r="A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6"/>
    </row>
    <row r="278" spans="1:28">
      <c r="A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6"/>
    </row>
    <row r="279" spans="1:28">
      <c r="A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6"/>
    </row>
    <row r="280" spans="1:28">
      <c r="A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6"/>
    </row>
    <row r="281" spans="1:28">
      <c r="A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6"/>
    </row>
    <row r="282" spans="1:28">
      <c r="A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6"/>
    </row>
    <row r="283" spans="1:28">
      <c r="A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6"/>
    </row>
    <row r="284" spans="1:28">
      <c r="A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6"/>
    </row>
    <row r="285" spans="1:28">
      <c r="A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6"/>
    </row>
    <row r="286" spans="1:28">
      <c r="A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6"/>
    </row>
    <row r="287" spans="1:28">
      <c r="A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6"/>
    </row>
    <row r="288" spans="1:28">
      <c r="A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6"/>
    </row>
    <row r="289" spans="1:28">
      <c r="A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6"/>
    </row>
    <row r="290" spans="1:28">
      <c r="A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6"/>
    </row>
    <row r="291" spans="1:28">
      <c r="A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6"/>
    </row>
    <row r="292" spans="1:28">
      <c r="A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6"/>
    </row>
    <row r="293" spans="1:28">
      <c r="A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6"/>
    </row>
    <row r="294" spans="1:28">
      <c r="A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6"/>
    </row>
    <row r="295" spans="1:28">
      <c r="A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6"/>
    </row>
    <row r="296" spans="1:28">
      <c r="A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6"/>
    </row>
    <row r="297" spans="1:28">
      <c r="A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6"/>
    </row>
    <row r="298" spans="1:28">
      <c r="A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6"/>
    </row>
    <row r="299" spans="1:28">
      <c r="A299" s="605"/>
      <c r="D299" s="605"/>
      <c r="E299" s="605"/>
      <c r="F299" s="605"/>
      <c r="G299" s="605"/>
      <c r="H299" s="605"/>
      <c r="I299" s="605"/>
      <c r="J299" s="605"/>
      <c r="K299" s="605"/>
      <c r="L299" s="605"/>
      <c r="M299" s="605"/>
      <c r="N299" s="605"/>
      <c r="O299" s="605"/>
      <c r="P299" s="605"/>
      <c r="Q299" s="605"/>
      <c r="R299" s="605"/>
      <c r="S299" s="605"/>
      <c r="T299" s="605"/>
      <c r="U299" s="605"/>
      <c r="V299" s="605"/>
      <c r="W299" s="605"/>
      <c r="X299" s="605"/>
      <c r="Y299" s="605"/>
      <c r="Z299" s="605"/>
      <c r="AA299" s="605"/>
      <c r="AB299" s="606"/>
    </row>
    <row r="300" spans="1:28">
      <c r="A300" s="605"/>
      <c r="D300" s="605"/>
      <c r="E300" s="605"/>
      <c r="F300" s="605"/>
      <c r="G300" s="605"/>
      <c r="H300" s="605"/>
      <c r="I300" s="605"/>
      <c r="J300" s="605"/>
      <c r="K300" s="605"/>
      <c r="L300" s="605"/>
      <c r="M300" s="605"/>
      <c r="N300" s="605"/>
      <c r="O300" s="605"/>
      <c r="P300" s="605"/>
      <c r="Q300" s="605"/>
      <c r="R300" s="605"/>
      <c r="S300" s="605"/>
      <c r="T300" s="605"/>
      <c r="U300" s="605"/>
      <c r="V300" s="605"/>
      <c r="W300" s="605"/>
      <c r="X300" s="605"/>
      <c r="Y300" s="605"/>
      <c r="Z300" s="605"/>
      <c r="AA300" s="605"/>
      <c r="AB300" s="606"/>
    </row>
    <row r="301" spans="1:28">
      <c r="A301" s="605"/>
      <c r="D301" s="605"/>
      <c r="E301" s="605"/>
      <c r="F301" s="605"/>
      <c r="G301" s="605"/>
      <c r="H301" s="605"/>
      <c r="I301" s="605"/>
      <c r="J301" s="605"/>
      <c r="K301" s="605"/>
      <c r="L301" s="605"/>
      <c r="M301" s="605"/>
      <c r="N301" s="605"/>
      <c r="O301" s="605"/>
      <c r="P301" s="605"/>
      <c r="Q301" s="605"/>
      <c r="R301" s="605"/>
      <c r="S301" s="605"/>
      <c r="T301" s="605"/>
      <c r="U301" s="605"/>
      <c r="V301" s="605"/>
      <c r="W301" s="605"/>
      <c r="X301" s="605"/>
      <c r="Y301" s="605"/>
      <c r="Z301" s="605"/>
      <c r="AA301" s="605"/>
      <c r="AB301" s="606"/>
    </row>
    <row r="302" spans="1:28">
      <c r="A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6"/>
    </row>
    <row r="303" spans="1:28">
      <c r="A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6"/>
    </row>
    <row r="304" spans="1:28">
      <c r="A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6"/>
    </row>
    <row r="305" spans="1:28">
      <c r="A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6"/>
    </row>
    <row r="306" spans="1:28">
      <c r="A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6"/>
    </row>
    <row r="307" spans="1:28">
      <c r="A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6"/>
    </row>
    <row r="308" spans="1:28">
      <c r="A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6"/>
    </row>
    <row r="309" spans="1:28">
      <c r="A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6"/>
    </row>
    <row r="310" spans="1:28">
      <c r="A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6"/>
    </row>
    <row r="311" spans="1:28">
      <c r="A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6"/>
    </row>
    <row r="312" spans="1:28">
      <c r="A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6"/>
    </row>
    <row r="313" spans="1:28">
      <c r="A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6"/>
    </row>
    <row r="314" spans="1:28">
      <c r="A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6"/>
    </row>
    <row r="315" spans="1:28">
      <c r="A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6"/>
    </row>
    <row r="316" spans="1:28">
      <c r="A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6"/>
    </row>
    <row r="317" spans="1:28">
      <c r="A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6"/>
    </row>
    <row r="318" spans="1:28">
      <c r="A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6"/>
    </row>
    <row r="319" spans="1:28">
      <c r="A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6"/>
    </row>
    <row r="320" spans="1:28">
      <c r="A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6"/>
    </row>
    <row r="321" spans="1:28">
      <c r="A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6"/>
    </row>
    <row r="322" spans="1:28">
      <c r="A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6"/>
    </row>
    <row r="323" spans="1:28">
      <c r="A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6"/>
    </row>
    <row r="324" spans="1:28">
      <c r="A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6"/>
    </row>
    <row r="325" spans="1:28">
      <c r="A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6"/>
    </row>
    <row r="326" spans="1:28">
      <c r="A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6"/>
    </row>
    <row r="327" spans="1:28">
      <c r="A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6"/>
    </row>
    <row r="328" spans="1:28">
      <c r="A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6"/>
    </row>
    <row r="329" spans="1:28">
      <c r="A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6"/>
    </row>
    <row r="330" spans="1:28">
      <c r="A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6"/>
    </row>
    <row r="331" spans="1:28">
      <c r="A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6"/>
    </row>
    <row r="332" spans="1:28">
      <c r="A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6"/>
    </row>
    <row r="333" spans="1:28">
      <c r="A333" s="605"/>
      <c r="D333" s="605"/>
      <c r="E333" s="605"/>
      <c r="F333" s="605"/>
      <c r="G333" s="605"/>
      <c r="H333" s="605"/>
      <c r="I333" s="605"/>
      <c r="J333" s="605"/>
      <c r="K333" s="605"/>
      <c r="L333" s="605"/>
      <c r="M333" s="605"/>
      <c r="N333" s="605"/>
      <c r="O333" s="605"/>
      <c r="P333" s="605"/>
      <c r="Q333" s="605"/>
      <c r="R333" s="605"/>
      <c r="S333" s="605"/>
      <c r="T333" s="605"/>
      <c r="U333" s="605"/>
      <c r="V333" s="605"/>
      <c r="W333" s="605"/>
      <c r="X333" s="605"/>
      <c r="Y333" s="605"/>
      <c r="Z333" s="605"/>
      <c r="AA333" s="605"/>
      <c r="AB333" s="606"/>
    </row>
    <row r="334" spans="1:28">
      <c r="A334" s="605"/>
      <c r="D334" s="605"/>
      <c r="E334" s="605"/>
      <c r="F334" s="605"/>
      <c r="G334" s="605"/>
      <c r="H334" s="605"/>
      <c r="I334" s="605"/>
      <c r="J334" s="605"/>
      <c r="K334" s="605"/>
      <c r="L334" s="605"/>
      <c r="M334" s="605"/>
      <c r="N334" s="605"/>
      <c r="O334" s="605"/>
      <c r="P334" s="605"/>
      <c r="Q334" s="605"/>
      <c r="R334" s="605"/>
      <c r="S334" s="605"/>
      <c r="T334" s="605"/>
      <c r="U334" s="605"/>
      <c r="V334" s="605"/>
      <c r="W334" s="605"/>
      <c r="X334" s="605"/>
      <c r="Y334" s="605"/>
      <c r="Z334" s="605"/>
      <c r="AA334" s="605"/>
      <c r="AB334" s="606"/>
    </row>
    <row r="335" spans="1:28">
      <c r="A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6"/>
    </row>
    <row r="336" spans="1:28">
      <c r="A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6"/>
    </row>
    <row r="337" spans="1:28">
      <c r="A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6"/>
    </row>
    <row r="338" spans="1:28">
      <c r="A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6"/>
    </row>
    <row r="339" spans="1:28">
      <c r="A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6"/>
    </row>
    <row r="340" spans="1:28">
      <c r="A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6"/>
    </row>
    <row r="341" spans="1:28">
      <c r="A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6"/>
    </row>
    <row r="342" spans="1:28">
      <c r="A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6"/>
    </row>
    <row r="343" spans="1:28">
      <c r="A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6"/>
    </row>
    <row r="344" spans="1:28">
      <c r="A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6"/>
    </row>
    <row r="345" spans="1:28">
      <c r="A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6"/>
    </row>
    <row r="346" spans="1:28">
      <c r="A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6"/>
    </row>
    <row r="347" spans="1:28">
      <c r="A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6"/>
    </row>
    <row r="348" spans="1:28">
      <c r="A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6"/>
    </row>
    <row r="349" spans="1:28">
      <c r="A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6"/>
    </row>
    <row r="350" spans="1:28">
      <c r="A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6"/>
    </row>
    <row r="351" spans="1:28">
      <c r="A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6"/>
    </row>
    <row r="352" spans="1:28">
      <c r="A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6"/>
    </row>
    <row r="353" spans="1:28">
      <c r="A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6"/>
    </row>
    <row r="354" spans="1:28">
      <c r="A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6"/>
    </row>
    <row r="355" spans="1:28">
      <c r="A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6"/>
    </row>
    <row r="356" spans="1:28">
      <c r="A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6"/>
    </row>
    <row r="357" spans="1:28">
      <c r="A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6"/>
    </row>
    <row r="358" spans="1:28">
      <c r="A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6"/>
    </row>
    <row r="359" spans="1:28">
      <c r="A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6"/>
    </row>
    <row r="360" spans="1:28">
      <c r="A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6"/>
    </row>
    <row r="361" spans="1:28">
      <c r="A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6"/>
    </row>
    <row r="362" spans="1:28">
      <c r="A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6"/>
    </row>
    <row r="363" spans="1:28">
      <c r="A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6"/>
    </row>
    <row r="364" spans="1:28">
      <c r="A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6"/>
    </row>
    <row r="365" spans="1:28">
      <c r="A365" s="605"/>
      <c r="D365" s="605"/>
      <c r="E365" s="605"/>
      <c r="F365" s="605"/>
      <c r="G365" s="605"/>
      <c r="H365" s="605"/>
      <c r="I365" s="605"/>
      <c r="J365" s="605"/>
      <c r="K365" s="605"/>
      <c r="L365" s="605"/>
      <c r="M365" s="605"/>
      <c r="N365" s="605"/>
      <c r="O365" s="605"/>
      <c r="P365" s="605"/>
      <c r="Q365" s="605"/>
      <c r="R365" s="605"/>
      <c r="S365" s="605"/>
      <c r="T365" s="605"/>
      <c r="U365" s="605"/>
      <c r="V365" s="605"/>
      <c r="W365" s="605"/>
      <c r="X365" s="605"/>
      <c r="Y365" s="605"/>
      <c r="Z365" s="605"/>
      <c r="AA365" s="605"/>
      <c r="AB365" s="606"/>
    </row>
    <row r="366" spans="1:28">
      <c r="A366" s="605"/>
      <c r="D366" s="605"/>
      <c r="E366" s="605"/>
      <c r="F366" s="605"/>
      <c r="G366" s="605"/>
      <c r="H366" s="605"/>
      <c r="I366" s="605"/>
      <c r="J366" s="605"/>
      <c r="K366" s="605"/>
      <c r="L366" s="605"/>
      <c r="M366" s="605"/>
      <c r="N366" s="605"/>
      <c r="O366" s="605"/>
      <c r="P366" s="605"/>
      <c r="Q366" s="605"/>
      <c r="R366" s="605"/>
      <c r="S366" s="605"/>
      <c r="T366" s="605"/>
      <c r="U366" s="605"/>
      <c r="V366" s="605"/>
      <c r="W366" s="605"/>
      <c r="X366" s="605"/>
      <c r="Y366" s="605"/>
      <c r="Z366" s="605"/>
      <c r="AA366" s="605"/>
      <c r="AB366" s="606"/>
    </row>
    <row r="367" spans="1:28">
      <c r="A367" s="605"/>
      <c r="D367" s="605"/>
      <c r="E367" s="605"/>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6"/>
    </row>
    <row r="368" spans="1:28">
      <c r="A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6"/>
    </row>
    <row r="369" spans="1:28">
      <c r="A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6"/>
    </row>
    <row r="370" spans="1:28">
      <c r="A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6"/>
    </row>
    <row r="371" spans="1:28">
      <c r="A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6"/>
    </row>
    <row r="372" spans="1:28">
      <c r="A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6"/>
    </row>
    <row r="373" spans="1:28">
      <c r="A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6"/>
    </row>
    <row r="374" spans="1:28">
      <c r="A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6"/>
    </row>
    <row r="375" spans="1:28">
      <c r="A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6"/>
    </row>
    <row r="376" spans="1:28">
      <c r="A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6"/>
    </row>
    <row r="377" spans="1:28">
      <c r="A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6"/>
    </row>
    <row r="378" spans="1:28">
      <c r="A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6"/>
    </row>
    <row r="379" spans="1:28">
      <c r="A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6"/>
    </row>
    <row r="380" spans="1:28">
      <c r="A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6"/>
    </row>
    <row r="381" spans="1:28">
      <c r="A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6"/>
    </row>
    <row r="382" spans="1:28">
      <c r="A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6"/>
    </row>
    <row r="383" spans="1:28">
      <c r="A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6"/>
    </row>
    <row r="384" spans="1:28">
      <c r="A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6"/>
    </row>
    <row r="385" spans="1:28">
      <c r="A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6"/>
    </row>
    <row r="386" spans="1:28">
      <c r="A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6"/>
    </row>
    <row r="387" spans="1:28">
      <c r="A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6"/>
    </row>
    <row r="388" spans="1:28">
      <c r="A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6"/>
    </row>
    <row r="389" spans="1:28">
      <c r="A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6"/>
    </row>
    <row r="390" spans="1:28">
      <c r="A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6"/>
    </row>
    <row r="391" spans="1:28">
      <c r="A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6"/>
    </row>
    <row r="392" spans="1:28">
      <c r="A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6"/>
    </row>
    <row r="393" spans="1:28">
      <c r="A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6"/>
    </row>
    <row r="394" spans="1:28">
      <c r="A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6"/>
    </row>
    <row r="395" spans="1:28">
      <c r="A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6"/>
    </row>
    <row r="396" spans="1:28">
      <c r="A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6"/>
    </row>
    <row r="397" spans="1:28">
      <c r="A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6"/>
    </row>
    <row r="398" spans="1:28">
      <c r="A398" s="605"/>
      <c r="D398" s="605"/>
      <c r="E398" s="605"/>
      <c r="F398" s="605"/>
      <c r="G398" s="605"/>
      <c r="H398" s="605"/>
      <c r="I398" s="605"/>
      <c r="J398" s="605"/>
      <c r="K398" s="605"/>
      <c r="L398" s="605"/>
      <c r="M398" s="605"/>
      <c r="N398" s="605"/>
      <c r="O398" s="605"/>
      <c r="P398" s="605"/>
      <c r="Q398" s="605"/>
      <c r="R398" s="605"/>
      <c r="S398" s="605"/>
      <c r="T398" s="605"/>
      <c r="U398" s="605"/>
      <c r="V398" s="605"/>
      <c r="W398" s="605"/>
      <c r="X398" s="605"/>
      <c r="Y398" s="605"/>
      <c r="Z398" s="605"/>
      <c r="AA398" s="605"/>
      <c r="AB398" s="606"/>
    </row>
    <row r="399" spans="1:28">
      <c r="A399" s="605"/>
      <c r="D399" s="605"/>
      <c r="E399" s="605"/>
      <c r="F399" s="605"/>
      <c r="G399" s="605"/>
      <c r="H399" s="605"/>
      <c r="I399" s="605"/>
      <c r="J399" s="605"/>
      <c r="K399" s="605"/>
      <c r="L399" s="605"/>
      <c r="M399" s="605"/>
      <c r="N399" s="605"/>
      <c r="O399" s="605"/>
      <c r="P399" s="605"/>
      <c r="Q399" s="605"/>
      <c r="R399" s="605"/>
      <c r="S399" s="605"/>
      <c r="T399" s="605"/>
      <c r="U399" s="605"/>
      <c r="V399" s="605"/>
      <c r="W399" s="605"/>
      <c r="X399" s="605"/>
      <c r="Y399" s="605"/>
      <c r="Z399" s="605"/>
      <c r="AA399" s="605"/>
      <c r="AB399" s="606"/>
    </row>
    <row r="400" spans="1:28">
      <c r="A400" s="605"/>
      <c r="D400" s="605"/>
      <c r="E400" s="605"/>
      <c r="F400" s="605"/>
      <c r="G400" s="605"/>
      <c r="H400" s="605"/>
      <c r="I400" s="605"/>
      <c r="J400" s="605"/>
      <c r="K400" s="605"/>
      <c r="L400" s="605"/>
      <c r="M400" s="605"/>
      <c r="N400" s="605"/>
      <c r="O400" s="605"/>
      <c r="P400" s="605"/>
      <c r="Q400" s="605"/>
      <c r="R400" s="605"/>
      <c r="S400" s="605"/>
      <c r="T400" s="605"/>
      <c r="U400" s="605"/>
      <c r="V400" s="605"/>
      <c r="W400" s="605"/>
      <c r="X400" s="605"/>
      <c r="Y400" s="605"/>
      <c r="Z400" s="605"/>
      <c r="AA400" s="605"/>
      <c r="AB400" s="606"/>
    </row>
    <row r="401" spans="1:28">
      <c r="A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6"/>
    </row>
    <row r="402" spans="1:28">
      <c r="A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6"/>
    </row>
    <row r="403" spans="1:28">
      <c r="A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6"/>
    </row>
    <row r="404" spans="1:28">
      <c r="A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6"/>
    </row>
    <row r="405" spans="1:28">
      <c r="A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6"/>
    </row>
    <row r="406" spans="1:28">
      <c r="A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6"/>
    </row>
    <row r="407" spans="1:28">
      <c r="A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6"/>
    </row>
    <row r="408" spans="1:28">
      <c r="A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6"/>
    </row>
    <row r="409" spans="1:28">
      <c r="A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6"/>
    </row>
    <row r="410" spans="1:28">
      <c r="A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6"/>
    </row>
    <row r="411" spans="1:28">
      <c r="A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6"/>
    </row>
    <row r="412" spans="1:28">
      <c r="A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6"/>
    </row>
    <row r="413" spans="1:28">
      <c r="A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6"/>
    </row>
    <row r="414" spans="1:28">
      <c r="A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6"/>
    </row>
    <row r="415" spans="1:28">
      <c r="A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6"/>
    </row>
    <row r="416" spans="1:28">
      <c r="A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6"/>
    </row>
    <row r="417" spans="1:28">
      <c r="A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6"/>
    </row>
    <row r="418" spans="1:28">
      <c r="A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6"/>
    </row>
    <row r="419" spans="1:28">
      <c r="A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6"/>
    </row>
    <row r="420" spans="1:28">
      <c r="H420" s="605"/>
      <c r="I420" s="605"/>
      <c r="J420" s="605"/>
      <c r="K420" s="605"/>
      <c r="L420" s="605"/>
      <c r="M420" s="605"/>
      <c r="N420" s="605"/>
      <c r="O420" s="605"/>
      <c r="P420" s="605"/>
      <c r="Q420" s="605"/>
      <c r="R420" s="605"/>
      <c r="S420" s="605"/>
      <c r="T420" s="605"/>
      <c r="U420" s="605"/>
      <c r="V420" s="605"/>
      <c r="W420" s="605"/>
      <c r="X420" s="605"/>
      <c r="Y420" s="605"/>
      <c r="Z420" s="605"/>
      <c r="AA420" s="605"/>
      <c r="AB420" s="606"/>
    </row>
    <row r="421" spans="1:28">
      <c r="H421" s="605"/>
      <c r="I421" s="605"/>
      <c r="J421" s="605"/>
      <c r="K421" s="605"/>
      <c r="L421" s="605"/>
      <c r="M421" s="605"/>
      <c r="N421" s="605"/>
      <c r="O421" s="605"/>
      <c r="P421" s="605"/>
      <c r="Q421" s="605"/>
      <c r="R421" s="605"/>
      <c r="S421" s="605"/>
      <c r="T421" s="605"/>
      <c r="U421" s="605"/>
      <c r="V421" s="605"/>
      <c r="W421" s="605"/>
      <c r="X421" s="605"/>
      <c r="Y421" s="605"/>
      <c r="Z421" s="605"/>
      <c r="AA421" s="605"/>
      <c r="AB421" s="606"/>
    </row>
    <row r="422" spans="1:28">
      <c r="H422" s="605"/>
      <c r="I422" s="605"/>
      <c r="J422" s="605"/>
      <c r="K422" s="605"/>
      <c r="L422" s="605"/>
      <c r="M422" s="605"/>
      <c r="N422" s="605"/>
      <c r="O422" s="605"/>
      <c r="P422" s="605"/>
      <c r="Q422" s="605"/>
      <c r="R422" s="605"/>
      <c r="S422" s="605"/>
      <c r="T422" s="605"/>
      <c r="U422" s="605"/>
      <c r="V422" s="605"/>
      <c r="W422" s="605"/>
      <c r="X422" s="605"/>
      <c r="Y422" s="605"/>
      <c r="Z422" s="605"/>
      <c r="AA422" s="605"/>
      <c r="AB422" s="606"/>
    </row>
    <row r="423" spans="1:28">
      <c r="H423" s="605"/>
      <c r="I423" s="605"/>
      <c r="J423" s="605"/>
      <c r="K423" s="605"/>
      <c r="L423" s="605"/>
      <c r="M423" s="605"/>
      <c r="N423" s="605"/>
      <c r="O423" s="605"/>
      <c r="P423" s="605"/>
      <c r="Q423" s="605"/>
      <c r="R423" s="605"/>
      <c r="S423" s="605"/>
      <c r="T423" s="605"/>
      <c r="U423" s="605"/>
      <c r="V423" s="605"/>
      <c r="W423" s="605"/>
      <c r="X423" s="605"/>
      <c r="Y423" s="605"/>
      <c r="Z423" s="605"/>
      <c r="AA423" s="605"/>
      <c r="AB423" s="606"/>
    </row>
    <row r="424" spans="1:28">
      <c r="H424" s="605"/>
      <c r="I424" s="605"/>
      <c r="J424" s="605"/>
      <c r="K424" s="605"/>
      <c r="L424" s="605"/>
      <c r="M424" s="605"/>
      <c r="N424" s="605"/>
      <c r="O424" s="605"/>
      <c r="P424" s="605"/>
      <c r="Q424" s="605"/>
      <c r="R424" s="605"/>
      <c r="S424" s="605"/>
      <c r="T424" s="605"/>
      <c r="U424" s="605"/>
      <c r="V424" s="605"/>
      <c r="W424" s="605"/>
      <c r="X424" s="605"/>
      <c r="Y424" s="605"/>
      <c r="Z424" s="605"/>
      <c r="AA424" s="605"/>
      <c r="AB424" s="606"/>
    </row>
    <row r="425" spans="1:28">
      <c r="H425" s="605"/>
      <c r="I425" s="605"/>
      <c r="J425" s="605"/>
      <c r="K425" s="605"/>
      <c r="L425" s="605"/>
      <c r="M425" s="605"/>
      <c r="N425" s="605"/>
      <c r="O425" s="605"/>
      <c r="P425" s="605"/>
      <c r="Q425" s="605"/>
      <c r="R425" s="605"/>
      <c r="S425" s="605"/>
      <c r="T425" s="605"/>
      <c r="U425" s="605"/>
      <c r="V425" s="605"/>
      <c r="W425" s="605"/>
      <c r="X425" s="605"/>
      <c r="Y425" s="605"/>
      <c r="Z425" s="605"/>
      <c r="AA425" s="605"/>
      <c r="AB425" s="606"/>
    </row>
    <row r="426" spans="1:28">
      <c r="H426" s="605"/>
      <c r="I426" s="605"/>
      <c r="J426" s="605"/>
      <c r="K426" s="605"/>
      <c r="L426" s="605"/>
      <c r="M426" s="605"/>
      <c r="N426" s="605"/>
      <c r="O426" s="605"/>
      <c r="P426" s="605"/>
      <c r="Q426" s="605"/>
      <c r="R426" s="605"/>
      <c r="S426" s="605"/>
      <c r="T426" s="605"/>
      <c r="U426" s="605"/>
      <c r="V426" s="605"/>
      <c r="W426" s="605"/>
      <c r="X426" s="605"/>
      <c r="Y426" s="605"/>
      <c r="Z426" s="605"/>
      <c r="AA426" s="605"/>
      <c r="AB426" s="606"/>
    </row>
    <row r="427" spans="1:28">
      <c r="H427" s="605"/>
      <c r="I427" s="605"/>
      <c r="J427" s="605"/>
      <c r="K427" s="605"/>
      <c r="L427" s="605"/>
      <c r="M427" s="605"/>
      <c r="N427" s="605"/>
      <c r="O427" s="605"/>
      <c r="P427" s="605"/>
      <c r="Q427" s="605"/>
      <c r="R427" s="605"/>
      <c r="S427" s="605"/>
      <c r="T427" s="605"/>
      <c r="U427" s="605"/>
      <c r="V427" s="605"/>
      <c r="W427" s="605"/>
      <c r="X427" s="605"/>
      <c r="Y427" s="605"/>
      <c r="Z427" s="605"/>
      <c r="AA427" s="605"/>
      <c r="AB427" s="606"/>
    </row>
    <row r="428" spans="1:28">
      <c r="H428" s="605"/>
      <c r="I428" s="605"/>
      <c r="J428" s="605"/>
      <c r="K428" s="605"/>
      <c r="L428" s="605"/>
      <c r="M428" s="605"/>
      <c r="N428" s="605"/>
      <c r="O428" s="605"/>
      <c r="P428" s="605"/>
      <c r="Q428" s="605"/>
      <c r="R428" s="605"/>
      <c r="S428" s="605"/>
      <c r="T428" s="605"/>
      <c r="U428" s="605"/>
      <c r="V428" s="605"/>
      <c r="W428" s="605"/>
      <c r="X428" s="605"/>
      <c r="Y428" s="605"/>
      <c r="Z428" s="605"/>
      <c r="AA428" s="605"/>
      <c r="AB428" s="606"/>
    </row>
    <row r="429" spans="1:28">
      <c r="H429" s="605"/>
      <c r="I429" s="605"/>
      <c r="J429" s="605"/>
      <c r="K429" s="605"/>
      <c r="L429" s="605"/>
      <c r="M429" s="605"/>
      <c r="N429" s="605"/>
      <c r="O429" s="605"/>
      <c r="P429" s="605"/>
      <c r="Q429" s="605"/>
      <c r="R429" s="605"/>
      <c r="S429" s="605"/>
      <c r="T429" s="605"/>
      <c r="U429" s="605"/>
      <c r="V429" s="605"/>
      <c r="W429" s="605"/>
      <c r="X429" s="605"/>
      <c r="Y429" s="605"/>
      <c r="Z429" s="605"/>
      <c r="AA429" s="605"/>
      <c r="AB429" s="606"/>
    </row>
    <row r="430" spans="1:28">
      <c r="A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6"/>
    </row>
    <row r="431" spans="1:28">
      <c r="A431" s="605"/>
      <c r="D431" s="605"/>
      <c r="E431" s="605"/>
      <c r="F431" s="605"/>
      <c r="G431" s="605"/>
      <c r="H431" s="605"/>
      <c r="I431" s="605"/>
      <c r="J431" s="605"/>
      <c r="K431" s="605"/>
      <c r="L431" s="605"/>
      <c r="M431" s="605"/>
      <c r="N431" s="605"/>
      <c r="O431" s="605"/>
      <c r="P431" s="605"/>
      <c r="Q431" s="605"/>
      <c r="R431" s="605"/>
      <c r="S431" s="605"/>
      <c r="T431" s="605"/>
      <c r="U431" s="605"/>
      <c r="V431" s="605"/>
      <c r="W431" s="605"/>
      <c r="X431" s="605"/>
      <c r="Y431" s="605"/>
      <c r="Z431" s="605"/>
      <c r="AA431" s="605"/>
      <c r="AB431" s="606"/>
    </row>
    <row r="432" spans="1:28">
      <c r="A432" s="605"/>
      <c r="D432" s="605"/>
      <c r="E432" s="605"/>
      <c r="F432" s="605"/>
      <c r="G432" s="605"/>
      <c r="H432" s="605"/>
      <c r="I432" s="605"/>
      <c r="J432" s="605"/>
      <c r="K432" s="605"/>
      <c r="L432" s="605"/>
      <c r="M432" s="605"/>
      <c r="N432" s="605"/>
      <c r="O432" s="605"/>
      <c r="P432" s="605"/>
      <c r="Q432" s="605"/>
      <c r="R432" s="605"/>
      <c r="S432" s="605"/>
      <c r="T432" s="605"/>
      <c r="U432" s="605"/>
      <c r="V432" s="605"/>
      <c r="W432" s="605"/>
      <c r="X432" s="605"/>
      <c r="Y432" s="605"/>
      <c r="Z432" s="605"/>
      <c r="AA432" s="605"/>
      <c r="AB432" s="606"/>
    </row>
    <row r="433" spans="1:28">
      <c r="A433" s="605"/>
      <c r="D433" s="605"/>
      <c r="E433" s="605"/>
      <c r="F433" s="605"/>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6"/>
    </row>
    <row r="434" spans="1:28">
      <c r="A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6"/>
    </row>
    <row r="435" spans="1:28">
      <c r="A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6"/>
    </row>
    <row r="436" spans="1:28">
      <c r="A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6"/>
    </row>
    <row r="437" spans="1:28">
      <c r="A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6"/>
    </row>
    <row r="438" spans="1:28">
      <c r="A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6"/>
    </row>
    <row r="439" spans="1:28">
      <c r="A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6"/>
    </row>
    <row r="440" spans="1:28">
      <c r="A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6"/>
    </row>
    <row r="441" spans="1:28">
      <c r="A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6"/>
    </row>
    <row r="442" spans="1:28">
      <c r="A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6"/>
    </row>
    <row r="443" spans="1:28">
      <c r="A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6"/>
    </row>
    <row r="444" spans="1:28">
      <c r="A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6"/>
    </row>
    <row r="445" spans="1:28">
      <c r="A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6"/>
    </row>
    <row r="446" spans="1:28">
      <c r="A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6"/>
    </row>
    <row r="447" spans="1:28">
      <c r="A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6"/>
    </row>
    <row r="448" spans="1:28">
      <c r="A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6"/>
    </row>
    <row r="449" spans="1:28">
      <c r="A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6"/>
    </row>
    <row r="450" spans="1:28">
      <c r="A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6"/>
    </row>
    <row r="451" spans="1:28">
      <c r="A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6"/>
    </row>
    <row r="452" spans="1:28">
      <c r="A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6"/>
    </row>
    <row r="453" spans="1:28">
      <c r="A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6"/>
    </row>
    <row r="454" spans="1:28">
      <c r="A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6"/>
    </row>
    <row r="455" spans="1:28">
      <c r="A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6"/>
    </row>
    <row r="456" spans="1:28">
      <c r="A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6"/>
    </row>
    <row r="457" spans="1:28">
      <c r="A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6"/>
    </row>
    <row r="458" spans="1:28">
      <c r="A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6"/>
    </row>
    <row r="459" spans="1:28">
      <c r="A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6"/>
    </row>
    <row r="460" spans="1:28">
      <c r="A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6"/>
    </row>
    <row r="461" spans="1:28">
      <c r="A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6"/>
    </row>
    <row r="462" spans="1:28">
      <c r="A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6"/>
    </row>
    <row r="463" spans="1:28">
      <c r="A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6"/>
    </row>
    <row r="464" spans="1:28">
      <c r="A464" s="605"/>
      <c r="D464" s="605"/>
      <c r="E464" s="605"/>
      <c r="F464" s="605"/>
      <c r="G464" s="605"/>
      <c r="H464" s="605"/>
      <c r="I464" s="605"/>
      <c r="J464" s="605"/>
      <c r="K464" s="605"/>
      <c r="L464" s="605"/>
      <c r="M464" s="605"/>
      <c r="N464" s="605"/>
      <c r="O464" s="605"/>
      <c r="P464" s="605"/>
      <c r="Q464" s="605"/>
      <c r="R464" s="605"/>
      <c r="S464" s="605"/>
      <c r="T464" s="605"/>
      <c r="U464" s="605"/>
      <c r="V464" s="605"/>
      <c r="W464" s="605"/>
      <c r="X464" s="605"/>
      <c r="Y464" s="605"/>
      <c r="Z464" s="605"/>
      <c r="AA464" s="605"/>
      <c r="AB464" s="606"/>
    </row>
    <row r="465" spans="1:28">
      <c r="A465" s="605"/>
      <c r="D465" s="605"/>
      <c r="E465" s="605"/>
      <c r="F465" s="605"/>
      <c r="G465" s="605"/>
      <c r="H465" s="605"/>
      <c r="I465" s="605"/>
      <c r="J465" s="605"/>
      <c r="K465" s="605"/>
      <c r="L465" s="605"/>
      <c r="M465" s="605"/>
      <c r="N465" s="605"/>
      <c r="O465" s="605"/>
      <c r="P465" s="605"/>
      <c r="Q465" s="605"/>
      <c r="R465" s="605"/>
      <c r="S465" s="605"/>
      <c r="T465" s="605"/>
      <c r="U465" s="605"/>
      <c r="V465" s="605"/>
      <c r="W465" s="605"/>
      <c r="X465" s="605"/>
      <c r="Y465" s="605"/>
      <c r="Z465" s="605"/>
      <c r="AA465" s="605"/>
      <c r="AB465" s="606"/>
    </row>
    <row r="466" spans="1:28">
      <c r="A466" s="605"/>
      <c r="D466" s="605"/>
      <c r="E466" s="605"/>
      <c r="F466" s="605"/>
      <c r="G466" s="605"/>
      <c r="H466" s="605"/>
      <c r="I466" s="605"/>
      <c r="J466" s="605"/>
      <c r="K466" s="605"/>
      <c r="L466" s="605"/>
      <c r="M466" s="605"/>
      <c r="N466" s="605"/>
      <c r="O466" s="605"/>
      <c r="P466" s="605"/>
      <c r="Q466" s="605"/>
      <c r="R466" s="605"/>
      <c r="S466" s="605"/>
      <c r="T466" s="605"/>
      <c r="U466" s="605"/>
      <c r="V466" s="605"/>
      <c r="W466" s="605"/>
      <c r="X466" s="605"/>
      <c r="Y466" s="605"/>
      <c r="Z466" s="605"/>
      <c r="AA466" s="605"/>
      <c r="AB466" s="606"/>
    </row>
    <row r="467" spans="1:28">
      <c r="A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6"/>
    </row>
    <row r="468" spans="1:28">
      <c r="A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6"/>
    </row>
    <row r="469" spans="1:28">
      <c r="A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6"/>
    </row>
    <row r="470" spans="1:28">
      <c r="A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6"/>
    </row>
    <row r="471" spans="1:28">
      <c r="A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6"/>
    </row>
    <row r="472" spans="1:28">
      <c r="A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6"/>
    </row>
    <row r="473" spans="1:28">
      <c r="A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6"/>
    </row>
    <row r="474" spans="1:28">
      <c r="A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6"/>
    </row>
    <row r="475" spans="1:28">
      <c r="A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6"/>
    </row>
    <row r="476" spans="1:28">
      <c r="A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6"/>
    </row>
    <row r="477" spans="1:28">
      <c r="A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6"/>
    </row>
    <row r="478" spans="1:28">
      <c r="A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6"/>
    </row>
    <row r="479" spans="1:28">
      <c r="A479" s="605"/>
      <c r="D479" s="605"/>
      <c r="E479" s="605"/>
      <c r="F479" s="605"/>
      <c r="G479" s="605"/>
      <c r="AB479" s="606"/>
    </row>
    <row r="480" spans="1:28">
      <c r="A480" s="605"/>
      <c r="D480" s="605"/>
      <c r="E480" s="605"/>
      <c r="F480" s="605"/>
      <c r="G480" s="605"/>
      <c r="AB480" s="606"/>
    </row>
  </sheetData>
  <mergeCells count="64">
    <mergeCell ref="C5:C9"/>
    <mergeCell ref="D7:D9"/>
    <mergeCell ref="E8:E9"/>
    <mergeCell ref="Q7:Q9"/>
    <mergeCell ref="M8:M9"/>
    <mergeCell ref="N8:N9"/>
    <mergeCell ref="O8:O9"/>
    <mergeCell ref="P5:P9"/>
    <mergeCell ref="J8:K8"/>
    <mergeCell ref="L8:L9"/>
    <mergeCell ref="A1:AB1"/>
    <mergeCell ref="A2:AB2"/>
    <mergeCell ref="A3:AB3"/>
    <mergeCell ref="A4:AB4"/>
    <mergeCell ref="E7:G7"/>
    <mergeCell ref="D5:G6"/>
    <mergeCell ref="H5:O6"/>
    <mergeCell ref="Q5:AA6"/>
    <mergeCell ref="I7:L7"/>
    <mergeCell ref="M7:O7"/>
    <mergeCell ref="A5:A9"/>
    <mergeCell ref="B5:B9"/>
    <mergeCell ref="F8:F9"/>
    <mergeCell ref="G8:G9"/>
    <mergeCell ref="H7:H9"/>
    <mergeCell ref="I8:I9"/>
    <mergeCell ref="AC119:AC128"/>
    <mergeCell ref="V8:V9"/>
    <mergeCell ref="W8:W9"/>
    <mergeCell ref="X8:X9"/>
    <mergeCell ref="AA8:AA9"/>
    <mergeCell ref="AB5:AB9"/>
    <mergeCell ref="R7:V7"/>
    <mergeCell ref="W7:AA7"/>
    <mergeCell ref="S8:T8"/>
    <mergeCell ref="R8:R9"/>
    <mergeCell ref="Y8:Y9"/>
    <mergeCell ref="Z8:Z9"/>
    <mergeCell ref="U8:U9"/>
    <mergeCell ref="AB149:AB150"/>
    <mergeCell ref="AA149:AA150"/>
    <mergeCell ref="X149:X150"/>
    <mergeCell ref="W149:W150"/>
    <mergeCell ref="V149:V150"/>
    <mergeCell ref="T149:T150"/>
    <mergeCell ref="S149:S150"/>
    <mergeCell ref="R149:R150"/>
    <mergeCell ref="Q149:Q150"/>
    <mergeCell ref="P149:P150"/>
    <mergeCell ref="O149:O150"/>
    <mergeCell ref="N149:N150"/>
    <mergeCell ref="M149:M150"/>
    <mergeCell ref="L149:L150"/>
    <mergeCell ref="K149:K150"/>
    <mergeCell ref="J149:J150"/>
    <mergeCell ref="I149:I150"/>
    <mergeCell ref="H149:H150"/>
    <mergeCell ref="G149:G150"/>
    <mergeCell ref="F149:F150"/>
    <mergeCell ref="E149:E150"/>
    <mergeCell ref="D149:D150"/>
    <mergeCell ref="C149:C150"/>
    <mergeCell ref="B149:B150"/>
    <mergeCell ref="A149:A150"/>
  </mergeCells>
  <printOptions horizontalCentered="1"/>
  <pageMargins left="0" right="0" top="0.5" bottom="0.5" header="0" footer="0"/>
  <pageSetup paperSize="9" scale="24" orientation="landscape" r:id="rId1"/>
  <headerFooter differentFirst="1">
    <oddHeader>&amp;C&amp;P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405"/>
  <sheetViews>
    <sheetView zoomScale="90" zoomScaleNormal="90" workbookViewId="0">
      <selection sqref="A1:AC1"/>
    </sheetView>
  </sheetViews>
  <sheetFormatPr defaultColWidth="9.140625" defaultRowHeight="18.75"/>
  <cols>
    <col min="1" max="1" width="5.140625" style="132" customWidth="1"/>
    <col min="2" max="2" width="27.7109375" style="133" customWidth="1"/>
    <col min="3" max="4" width="10.140625" style="134" customWidth="1"/>
    <col min="5" max="5" width="10.7109375" style="26" customWidth="1"/>
    <col min="6" max="6" width="10.42578125" style="26" customWidth="1"/>
    <col min="7" max="10" width="8.42578125" style="26" customWidth="1"/>
    <col min="11" max="11" width="10.7109375" style="26" customWidth="1"/>
    <col min="12" max="12" width="10.42578125" style="26" customWidth="1"/>
    <col min="13" max="13" width="13" style="26" hidden="1" customWidth="1"/>
    <col min="14" max="14" width="11.42578125" style="26" customWidth="1"/>
    <col min="15" max="18" width="8.42578125" style="26" customWidth="1"/>
    <col min="19" max="19" width="10.7109375" style="26" customWidth="1"/>
    <col min="20" max="20" width="10.42578125" style="26" customWidth="1"/>
    <col min="21" max="21" width="11" style="26" customWidth="1"/>
    <col min="22" max="25" width="8.42578125" style="26" customWidth="1"/>
    <col min="26" max="26" width="10.7109375" style="26" customWidth="1"/>
    <col min="27" max="27" width="13" style="26" customWidth="1"/>
    <col min="28" max="28" width="9.7109375" style="26" customWidth="1"/>
    <col min="29" max="32" width="8.42578125" style="26" customWidth="1"/>
    <col min="33" max="33" width="10.7109375" style="26" customWidth="1"/>
    <col min="34" max="34" width="13" style="26" customWidth="1"/>
    <col min="35" max="35" width="9.7109375" style="26" customWidth="1"/>
    <col min="36" max="39" width="8.42578125" style="26" customWidth="1"/>
    <col min="40" max="40" width="10.7109375" style="26" customWidth="1"/>
    <col min="41" max="41" width="13" style="26" customWidth="1"/>
    <col min="42" max="42" width="10.42578125" style="26" customWidth="1"/>
    <col min="43" max="16384" width="9.140625" style="92"/>
  </cols>
  <sheetData>
    <row r="1" spans="1:47" s="128" customFormat="1" ht="27" customHeight="1">
      <c r="A1" s="1201" t="s">
        <v>170</v>
      </c>
      <c r="B1" s="1201"/>
      <c r="C1" s="1201"/>
      <c r="D1" s="1201"/>
      <c r="E1" s="1201"/>
      <c r="F1" s="1201"/>
      <c r="G1" s="1201"/>
      <c r="H1" s="1201"/>
      <c r="I1" s="1201"/>
      <c r="J1" s="1201"/>
      <c r="K1" s="1201"/>
      <c r="L1" s="1201"/>
      <c r="M1" s="1201"/>
      <c r="N1" s="1201"/>
      <c r="O1" s="1201"/>
      <c r="P1" s="176"/>
      <c r="Q1" s="173"/>
      <c r="R1" s="173"/>
      <c r="S1" s="173"/>
      <c r="T1" s="173"/>
      <c r="U1" s="173"/>
      <c r="V1" s="138"/>
      <c r="W1" s="138"/>
      <c r="X1" s="138"/>
      <c r="Y1" s="138"/>
      <c r="Z1" s="138"/>
      <c r="AA1" s="138"/>
      <c r="AB1" s="138"/>
      <c r="AC1" s="138"/>
      <c r="AD1" s="138"/>
      <c r="AE1" s="138"/>
      <c r="AF1" s="138"/>
      <c r="AG1" s="138"/>
      <c r="AH1" s="138"/>
      <c r="AI1" s="177" t="s">
        <v>1</v>
      </c>
      <c r="AJ1" s="139"/>
      <c r="AK1" s="139"/>
      <c r="AL1" s="139"/>
      <c r="AM1" s="139"/>
      <c r="AN1" s="139"/>
      <c r="AO1" s="139"/>
      <c r="AP1" s="139"/>
      <c r="AQ1" s="179"/>
      <c r="AR1" s="179"/>
      <c r="AS1" s="179"/>
      <c r="AT1" s="179"/>
      <c r="AU1" s="179"/>
    </row>
    <row r="2" spans="1:47" s="128" customFormat="1" ht="27" customHeight="1">
      <c r="A2" s="1252" t="s">
        <v>2</v>
      </c>
      <c r="B2" s="1252"/>
      <c r="C2" s="1252"/>
      <c r="D2" s="1252"/>
      <c r="E2" s="1252"/>
      <c r="F2" s="1252"/>
      <c r="G2" s="1252"/>
      <c r="H2" s="1252"/>
      <c r="I2" s="1252"/>
      <c r="J2" s="1252"/>
      <c r="K2" s="1252"/>
      <c r="L2" s="1252"/>
      <c r="M2" s="1252"/>
      <c r="N2" s="1252"/>
      <c r="O2" s="1252"/>
      <c r="P2" s="176"/>
      <c r="Q2" s="138"/>
      <c r="R2" s="138"/>
      <c r="S2" s="138"/>
      <c r="T2" s="138"/>
      <c r="U2" s="138"/>
      <c r="V2" s="138"/>
      <c r="W2" s="138"/>
      <c r="X2" s="138"/>
      <c r="Y2" s="138"/>
      <c r="Z2" s="138"/>
      <c r="AA2" s="138"/>
      <c r="AB2" s="138"/>
      <c r="AC2" s="138"/>
      <c r="AD2" s="138"/>
      <c r="AE2" s="138"/>
      <c r="AF2" s="138"/>
      <c r="AG2" s="138"/>
      <c r="AH2" s="138"/>
      <c r="AI2" s="178" t="s">
        <v>3</v>
      </c>
      <c r="AJ2" s="140"/>
      <c r="AK2" s="140"/>
      <c r="AL2" s="140"/>
      <c r="AM2" s="140"/>
      <c r="AN2" s="140"/>
      <c r="AO2" s="140"/>
      <c r="AP2" s="140"/>
      <c r="AQ2" s="179"/>
      <c r="AR2" s="179"/>
      <c r="AS2" s="179"/>
      <c r="AT2" s="179"/>
      <c r="AU2" s="179"/>
    </row>
    <row r="3" spans="1:47" s="128" customFormat="1" ht="27" customHeight="1">
      <c r="A3" s="1253" t="s">
        <v>4</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c r="AJ3" s="1253"/>
      <c r="AK3" s="1253"/>
      <c r="AL3" s="1253"/>
      <c r="AM3" s="1253"/>
      <c r="AN3" s="1253"/>
      <c r="AO3" s="1253"/>
      <c r="AP3" s="1253"/>
      <c r="AQ3" s="179"/>
      <c r="AR3" s="179"/>
      <c r="AS3" s="179"/>
      <c r="AT3" s="179"/>
      <c r="AU3" s="179"/>
    </row>
    <row r="4" spans="1:47" s="128" customFormat="1" ht="38.65" customHeight="1">
      <c r="A4" s="1201" t="s">
        <v>171</v>
      </c>
      <c r="B4" s="1201"/>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c r="AH4" s="1201"/>
      <c r="AI4" s="1201"/>
      <c r="AJ4" s="1201"/>
      <c r="AK4" s="1201"/>
      <c r="AL4" s="1201"/>
      <c r="AM4" s="1201"/>
      <c r="AN4" s="1201"/>
      <c r="AO4" s="1201"/>
      <c r="AP4" s="1201"/>
    </row>
    <row r="5" spans="1:47" s="129" customFormat="1" ht="30" customHeight="1">
      <c r="A5" s="1254" t="s">
        <v>6</v>
      </c>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8"/>
    </row>
    <row r="6" spans="1:47" s="172" customFormat="1" ht="30" customHeight="1">
      <c r="A6" s="1241" t="s">
        <v>172</v>
      </c>
      <c r="B6" s="1241" t="s">
        <v>69</v>
      </c>
      <c r="C6" s="1241" t="s">
        <v>173</v>
      </c>
      <c r="D6" s="1241" t="s">
        <v>174</v>
      </c>
      <c r="E6" s="1241" t="s">
        <v>175</v>
      </c>
      <c r="F6" s="1250" t="s">
        <v>9</v>
      </c>
      <c r="G6" s="1250"/>
      <c r="H6" s="1250"/>
      <c r="I6" s="1250"/>
      <c r="J6" s="1250"/>
      <c r="K6" s="1250"/>
      <c r="L6" s="1250"/>
      <c r="M6" s="1250"/>
      <c r="N6" s="1250"/>
      <c r="O6" s="1250"/>
      <c r="P6" s="1250"/>
      <c r="Q6" s="1250"/>
      <c r="R6" s="1250"/>
      <c r="S6" s="1250"/>
      <c r="T6" s="1250"/>
      <c r="U6" s="1250"/>
      <c r="V6" s="1250"/>
      <c r="W6" s="1250"/>
      <c r="X6" s="1250"/>
      <c r="Y6" s="1250"/>
      <c r="Z6" s="1250"/>
      <c r="AA6" s="1250"/>
      <c r="AB6" s="1241" t="s">
        <v>10</v>
      </c>
      <c r="AC6" s="1241"/>
      <c r="AD6" s="1241"/>
      <c r="AE6" s="1241"/>
      <c r="AF6" s="1241"/>
      <c r="AG6" s="1241"/>
      <c r="AH6" s="1241"/>
      <c r="AI6" s="1241"/>
      <c r="AJ6" s="1241"/>
      <c r="AK6" s="1241"/>
      <c r="AL6" s="1241"/>
      <c r="AM6" s="1241"/>
      <c r="AN6" s="1241"/>
      <c r="AO6" s="1241"/>
      <c r="AP6" s="1242" t="s">
        <v>11</v>
      </c>
      <c r="AQ6" s="87"/>
    </row>
    <row r="7" spans="1:47" s="161" customFormat="1" ht="39" customHeight="1">
      <c r="A7" s="1241"/>
      <c r="B7" s="1241"/>
      <c r="C7" s="1241"/>
      <c r="D7" s="1241"/>
      <c r="E7" s="1241"/>
      <c r="F7" s="1241" t="s">
        <v>176</v>
      </c>
      <c r="G7" s="1241"/>
      <c r="H7" s="1241"/>
      <c r="I7" s="1241"/>
      <c r="J7" s="1241"/>
      <c r="K7" s="1241"/>
      <c r="L7" s="1241"/>
      <c r="M7" s="1241" t="s">
        <v>177</v>
      </c>
      <c r="N7" s="1251" t="s">
        <v>178</v>
      </c>
      <c r="O7" s="1251"/>
      <c r="P7" s="1251"/>
      <c r="Q7" s="1251"/>
      <c r="R7" s="1251"/>
      <c r="S7" s="1251"/>
      <c r="T7" s="1251"/>
      <c r="U7" s="1241" t="s">
        <v>14</v>
      </c>
      <c r="V7" s="1241"/>
      <c r="W7" s="1241"/>
      <c r="X7" s="1241"/>
      <c r="Y7" s="1241"/>
      <c r="Z7" s="1241"/>
      <c r="AA7" s="1241"/>
      <c r="AB7" s="1241" t="s">
        <v>15</v>
      </c>
      <c r="AC7" s="1241"/>
      <c r="AD7" s="1241"/>
      <c r="AE7" s="1241"/>
      <c r="AF7" s="1241"/>
      <c r="AG7" s="1241"/>
      <c r="AH7" s="1241"/>
      <c r="AI7" s="1241" t="s">
        <v>179</v>
      </c>
      <c r="AJ7" s="1241"/>
      <c r="AK7" s="1241"/>
      <c r="AL7" s="1241"/>
      <c r="AM7" s="1241"/>
      <c r="AN7" s="1241"/>
      <c r="AO7" s="1241"/>
      <c r="AP7" s="1243"/>
      <c r="AQ7" s="1245"/>
    </row>
    <row r="8" spans="1:47" s="130" customFormat="1" ht="30.4" customHeight="1">
      <c r="A8" s="1241"/>
      <c r="B8" s="1241"/>
      <c r="C8" s="1241"/>
      <c r="D8" s="1241"/>
      <c r="E8" s="1241"/>
      <c r="F8" s="1241" t="s">
        <v>74</v>
      </c>
      <c r="G8" s="1241" t="s">
        <v>75</v>
      </c>
      <c r="H8" s="1241"/>
      <c r="I8" s="1241"/>
      <c r="J8" s="1241"/>
      <c r="K8" s="1241"/>
      <c r="L8" s="1241"/>
      <c r="M8" s="1241"/>
      <c r="N8" s="1241" t="s">
        <v>74</v>
      </c>
      <c r="O8" s="1241" t="s">
        <v>75</v>
      </c>
      <c r="P8" s="1241"/>
      <c r="Q8" s="1241"/>
      <c r="R8" s="1241"/>
      <c r="S8" s="1241"/>
      <c r="T8" s="1241"/>
      <c r="U8" s="1241" t="s">
        <v>74</v>
      </c>
      <c r="V8" s="1241" t="s">
        <v>75</v>
      </c>
      <c r="W8" s="1241"/>
      <c r="X8" s="1241"/>
      <c r="Y8" s="1241"/>
      <c r="Z8" s="1241"/>
      <c r="AA8" s="1241"/>
      <c r="AB8" s="1241" t="s">
        <v>74</v>
      </c>
      <c r="AC8" s="1241" t="s">
        <v>75</v>
      </c>
      <c r="AD8" s="1241"/>
      <c r="AE8" s="1241"/>
      <c r="AF8" s="1241"/>
      <c r="AG8" s="1241"/>
      <c r="AH8" s="1241"/>
      <c r="AI8" s="1241" t="s">
        <v>74</v>
      </c>
      <c r="AJ8" s="1241" t="s">
        <v>75</v>
      </c>
      <c r="AK8" s="1241"/>
      <c r="AL8" s="1241"/>
      <c r="AM8" s="1241"/>
      <c r="AN8" s="1241"/>
      <c r="AO8" s="1241"/>
      <c r="AP8" s="1243"/>
      <c r="AQ8" s="1245"/>
    </row>
    <row r="9" spans="1:47" s="130" customFormat="1" ht="30.4" customHeight="1">
      <c r="A9" s="1241"/>
      <c r="B9" s="1241"/>
      <c r="C9" s="1241"/>
      <c r="D9" s="1241"/>
      <c r="E9" s="1241"/>
      <c r="F9" s="1241"/>
      <c r="G9" s="1241" t="s">
        <v>180</v>
      </c>
      <c r="H9" s="1241"/>
      <c r="I9" s="1241"/>
      <c r="J9" s="1241"/>
      <c r="K9" s="1241"/>
      <c r="L9" s="1241" t="s">
        <v>181</v>
      </c>
      <c r="M9" s="1241"/>
      <c r="N9" s="1241"/>
      <c r="O9" s="1241" t="s">
        <v>180</v>
      </c>
      <c r="P9" s="1241"/>
      <c r="Q9" s="1241"/>
      <c r="R9" s="1241"/>
      <c r="S9" s="1241"/>
      <c r="T9" s="1241" t="s">
        <v>181</v>
      </c>
      <c r="U9" s="1241"/>
      <c r="V9" s="1241" t="s">
        <v>180</v>
      </c>
      <c r="W9" s="1241"/>
      <c r="X9" s="1241"/>
      <c r="Y9" s="1241"/>
      <c r="Z9" s="1241"/>
      <c r="AA9" s="1241" t="s">
        <v>181</v>
      </c>
      <c r="AB9" s="1241"/>
      <c r="AC9" s="1241" t="s">
        <v>180</v>
      </c>
      <c r="AD9" s="1241"/>
      <c r="AE9" s="1241"/>
      <c r="AF9" s="1241"/>
      <c r="AG9" s="1241"/>
      <c r="AH9" s="1241" t="s">
        <v>181</v>
      </c>
      <c r="AI9" s="1241"/>
      <c r="AJ9" s="1241" t="s">
        <v>180</v>
      </c>
      <c r="AK9" s="1241"/>
      <c r="AL9" s="1241"/>
      <c r="AM9" s="1241"/>
      <c r="AN9" s="1241"/>
      <c r="AO9" s="1241" t="s">
        <v>181</v>
      </c>
      <c r="AP9" s="1243"/>
      <c r="AQ9" s="1245"/>
    </row>
    <row r="10" spans="1:47" s="130" customFormat="1" ht="30.4" customHeight="1">
      <c r="A10" s="1241"/>
      <c r="B10" s="1241"/>
      <c r="C10" s="1241"/>
      <c r="D10" s="1241"/>
      <c r="E10" s="1241"/>
      <c r="F10" s="1241"/>
      <c r="G10" s="1241" t="s">
        <v>17</v>
      </c>
      <c r="H10" s="1241" t="s">
        <v>75</v>
      </c>
      <c r="I10" s="1241"/>
      <c r="J10" s="1241"/>
      <c r="K10" s="1241"/>
      <c r="L10" s="1241"/>
      <c r="M10" s="1241"/>
      <c r="N10" s="1241"/>
      <c r="O10" s="1241" t="s">
        <v>17</v>
      </c>
      <c r="P10" s="1241" t="s">
        <v>75</v>
      </c>
      <c r="Q10" s="1241"/>
      <c r="R10" s="1241"/>
      <c r="S10" s="1241"/>
      <c r="T10" s="1241"/>
      <c r="U10" s="1241"/>
      <c r="V10" s="1241" t="s">
        <v>17</v>
      </c>
      <c r="W10" s="1241" t="s">
        <v>75</v>
      </c>
      <c r="X10" s="1241"/>
      <c r="Y10" s="1241"/>
      <c r="Z10" s="1241"/>
      <c r="AA10" s="1241"/>
      <c r="AB10" s="1241"/>
      <c r="AC10" s="1241" t="s">
        <v>17</v>
      </c>
      <c r="AD10" s="1241" t="s">
        <v>75</v>
      </c>
      <c r="AE10" s="1241"/>
      <c r="AF10" s="1241"/>
      <c r="AG10" s="1241"/>
      <c r="AH10" s="1241"/>
      <c r="AI10" s="1241"/>
      <c r="AJ10" s="1241" t="s">
        <v>17</v>
      </c>
      <c r="AK10" s="1241" t="s">
        <v>75</v>
      </c>
      <c r="AL10" s="1241"/>
      <c r="AM10" s="1241"/>
      <c r="AN10" s="1241"/>
      <c r="AO10" s="1241"/>
      <c r="AP10" s="1243"/>
      <c r="AQ10" s="134"/>
    </row>
    <row r="11" spans="1:47" s="130" customFormat="1" ht="64.900000000000006" customHeight="1">
      <c r="A11" s="1241"/>
      <c r="B11" s="1241"/>
      <c r="C11" s="1241"/>
      <c r="D11" s="1241"/>
      <c r="E11" s="1241"/>
      <c r="F11" s="1241"/>
      <c r="G11" s="1241"/>
      <c r="H11" s="2" t="s">
        <v>182</v>
      </c>
      <c r="I11" s="2" t="s">
        <v>183</v>
      </c>
      <c r="J11" s="2" t="s">
        <v>184</v>
      </c>
      <c r="K11" s="2" t="s">
        <v>185</v>
      </c>
      <c r="L11" s="1241"/>
      <c r="M11" s="1241"/>
      <c r="N11" s="1241"/>
      <c r="O11" s="1241"/>
      <c r="P11" s="2" t="s">
        <v>182</v>
      </c>
      <c r="Q11" s="2" t="s">
        <v>183</v>
      </c>
      <c r="R11" s="2" t="s">
        <v>184</v>
      </c>
      <c r="S11" s="2" t="s">
        <v>185</v>
      </c>
      <c r="T11" s="1241"/>
      <c r="U11" s="1241"/>
      <c r="V11" s="1241"/>
      <c r="W11" s="2" t="s">
        <v>182</v>
      </c>
      <c r="X11" s="2" t="s">
        <v>183</v>
      </c>
      <c r="Y11" s="2" t="s">
        <v>184</v>
      </c>
      <c r="Z11" s="2" t="s">
        <v>185</v>
      </c>
      <c r="AA11" s="1241"/>
      <c r="AB11" s="1241"/>
      <c r="AC11" s="1241"/>
      <c r="AD11" s="2" t="s">
        <v>182</v>
      </c>
      <c r="AE11" s="2" t="s">
        <v>183</v>
      </c>
      <c r="AF11" s="2" t="s">
        <v>184</v>
      </c>
      <c r="AG11" s="2" t="s">
        <v>185</v>
      </c>
      <c r="AH11" s="1241"/>
      <c r="AI11" s="1241"/>
      <c r="AJ11" s="1241"/>
      <c r="AK11" s="2" t="s">
        <v>182</v>
      </c>
      <c r="AL11" s="2" t="s">
        <v>183</v>
      </c>
      <c r="AM11" s="2" t="s">
        <v>184</v>
      </c>
      <c r="AN11" s="2" t="s">
        <v>185</v>
      </c>
      <c r="AO11" s="1241"/>
      <c r="AP11" s="1244"/>
      <c r="AQ11" s="134"/>
    </row>
    <row r="12" spans="1:47" s="130" customFormat="1" ht="27" customHeight="1">
      <c r="A12" s="2">
        <v>1</v>
      </c>
      <c r="B12" s="2">
        <v>2</v>
      </c>
      <c r="C12" s="2">
        <v>3</v>
      </c>
      <c r="D12" s="2">
        <v>4</v>
      </c>
      <c r="E12" s="2">
        <v>5</v>
      </c>
      <c r="F12" s="2">
        <v>6</v>
      </c>
      <c r="G12" s="2">
        <v>7</v>
      </c>
      <c r="H12" s="2">
        <v>8</v>
      </c>
      <c r="I12" s="2">
        <v>9</v>
      </c>
      <c r="J12" s="2">
        <v>10</v>
      </c>
      <c r="K12" s="2">
        <v>11</v>
      </c>
      <c r="L12" s="2">
        <v>12</v>
      </c>
      <c r="M12" s="2">
        <v>13</v>
      </c>
      <c r="N12" s="2">
        <v>13</v>
      </c>
      <c r="O12" s="2">
        <v>14</v>
      </c>
      <c r="P12" s="2">
        <v>15</v>
      </c>
      <c r="Q12" s="2">
        <v>16</v>
      </c>
      <c r="R12" s="2">
        <v>17</v>
      </c>
      <c r="S12" s="2">
        <v>18</v>
      </c>
      <c r="T12" s="2">
        <v>19</v>
      </c>
      <c r="U12" s="2">
        <v>20</v>
      </c>
      <c r="V12" s="2">
        <v>21</v>
      </c>
      <c r="W12" s="2">
        <v>22</v>
      </c>
      <c r="X12" s="2">
        <v>23</v>
      </c>
      <c r="Y12" s="2">
        <v>24</v>
      </c>
      <c r="Z12" s="2">
        <v>25</v>
      </c>
      <c r="AA12" s="2">
        <v>26</v>
      </c>
      <c r="AB12" s="2">
        <v>27</v>
      </c>
      <c r="AC12" s="2">
        <v>28</v>
      </c>
      <c r="AD12" s="2">
        <v>29</v>
      </c>
      <c r="AE12" s="2">
        <v>30</v>
      </c>
      <c r="AF12" s="2">
        <v>31</v>
      </c>
      <c r="AG12" s="2">
        <v>32</v>
      </c>
      <c r="AH12" s="2">
        <v>33</v>
      </c>
      <c r="AI12" s="2">
        <v>34</v>
      </c>
      <c r="AJ12" s="2">
        <v>35</v>
      </c>
      <c r="AK12" s="2">
        <v>36</v>
      </c>
      <c r="AL12" s="2">
        <v>37</v>
      </c>
      <c r="AM12" s="2">
        <v>38</v>
      </c>
      <c r="AN12" s="2">
        <v>39</v>
      </c>
      <c r="AO12" s="2">
        <v>40</v>
      </c>
      <c r="AP12" s="2">
        <v>41</v>
      </c>
    </row>
    <row r="13" spans="1:47" ht="38.65" customHeight="1">
      <c r="A13" s="165"/>
      <c r="B13" s="112" t="s">
        <v>27</v>
      </c>
      <c r="C13" s="105"/>
      <c r="D13" s="105"/>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2"/>
      <c r="AC13" s="2"/>
      <c r="AD13" s="2"/>
      <c r="AE13" s="2"/>
      <c r="AF13" s="2"/>
      <c r="AG13" s="2"/>
      <c r="AH13" s="2"/>
      <c r="AI13" s="2"/>
      <c r="AJ13" s="2"/>
      <c r="AK13" s="2"/>
      <c r="AL13" s="2"/>
      <c r="AM13" s="2"/>
      <c r="AN13" s="2"/>
      <c r="AO13" s="2"/>
      <c r="AP13" s="106"/>
    </row>
    <row r="14" spans="1:47" ht="46.15" customHeight="1">
      <c r="A14" s="174" t="s">
        <v>95</v>
      </c>
      <c r="B14" s="17" t="s">
        <v>186</v>
      </c>
      <c r="C14" s="105"/>
      <c r="D14" s="105"/>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row>
    <row r="15" spans="1:47" ht="76.900000000000006" customHeight="1">
      <c r="A15" s="15" t="s">
        <v>28</v>
      </c>
      <c r="B15" s="104" t="s">
        <v>187</v>
      </c>
      <c r="C15" s="105"/>
      <c r="D15" s="105"/>
      <c r="E15" s="105"/>
      <c r="F15" s="105"/>
      <c r="G15" s="106"/>
      <c r="H15" s="106"/>
      <c r="I15" s="106"/>
      <c r="J15" s="106"/>
      <c r="K15" s="106"/>
      <c r="L15" s="106"/>
      <c r="M15" s="106"/>
      <c r="N15" s="106"/>
      <c r="O15" s="106"/>
      <c r="P15" s="106"/>
      <c r="Q15" s="106"/>
      <c r="R15" s="106"/>
      <c r="S15" s="106"/>
      <c r="T15" s="106"/>
      <c r="U15" s="106"/>
      <c r="V15" s="106"/>
      <c r="W15" s="106"/>
      <c r="X15" s="106"/>
      <c r="Y15" s="106"/>
      <c r="Z15" s="121"/>
      <c r="AA15" s="121"/>
      <c r="AB15" s="121"/>
      <c r="AC15" s="121"/>
      <c r="AD15" s="121"/>
      <c r="AE15" s="121"/>
      <c r="AF15" s="121"/>
      <c r="AG15" s="121"/>
      <c r="AH15" s="121"/>
      <c r="AI15" s="121"/>
      <c r="AJ15" s="121"/>
      <c r="AK15" s="121"/>
      <c r="AL15" s="121"/>
      <c r="AM15" s="121"/>
      <c r="AN15" s="121"/>
      <c r="AO15" s="121"/>
      <c r="AP15" s="121"/>
    </row>
    <row r="16" spans="1:47" s="93" customFormat="1" ht="76.900000000000006" customHeight="1">
      <c r="A16" s="107" t="s">
        <v>188</v>
      </c>
      <c r="B16" s="108" t="s">
        <v>189</v>
      </c>
      <c r="C16" s="109"/>
      <c r="D16" s="109"/>
      <c r="E16" s="109"/>
      <c r="F16" s="109"/>
      <c r="G16" s="110"/>
      <c r="H16" s="110"/>
      <c r="I16" s="110"/>
      <c r="J16" s="110"/>
      <c r="K16" s="110"/>
      <c r="L16" s="110"/>
      <c r="M16" s="110"/>
      <c r="N16" s="110"/>
      <c r="O16" s="110"/>
      <c r="P16" s="110"/>
      <c r="Q16" s="110"/>
      <c r="R16" s="110"/>
      <c r="S16" s="110"/>
      <c r="T16" s="110"/>
      <c r="U16" s="110"/>
      <c r="V16" s="110"/>
      <c r="W16" s="110"/>
      <c r="X16" s="110"/>
      <c r="Y16" s="110"/>
      <c r="Z16" s="122"/>
      <c r="AA16" s="122"/>
      <c r="AB16" s="122"/>
      <c r="AC16" s="122"/>
      <c r="AD16" s="122"/>
      <c r="AE16" s="122"/>
      <c r="AF16" s="122"/>
      <c r="AG16" s="122"/>
      <c r="AH16" s="122"/>
      <c r="AI16" s="122"/>
      <c r="AJ16" s="122"/>
      <c r="AK16" s="122"/>
      <c r="AL16" s="122"/>
      <c r="AM16" s="122"/>
      <c r="AN16" s="122"/>
      <c r="AO16" s="122"/>
      <c r="AP16" s="122"/>
    </row>
    <row r="17" spans="1:42" ht="41.65" customHeight="1">
      <c r="A17" s="111" t="s">
        <v>190</v>
      </c>
      <c r="B17" s="20" t="s">
        <v>191</v>
      </c>
      <c r="C17" s="105"/>
      <c r="D17" s="105"/>
      <c r="E17" s="105"/>
      <c r="F17" s="105"/>
      <c r="G17" s="106"/>
      <c r="H17" s="106"/>
      <c r="I17" s="106"/>
      <c r="J17" s="106"/>
      <c r="K17" s="106"/>
      <c r="L17" s="106"/>
      <c r="M17" s="106"/>
      <c r="N17" s="106"/>
      <c r="O17" s="106"/>
      <c r="P17" s="106"/>
      <c r="Q17" s="106"/>
      <c r="R17" s="106"/>
      <c r="S17" s="106"/>
      <c r="T17" s="106"/>
      <c r="U17" s="106"/>
      <c r="V17" s="106"/>
      <c r="W17" s="106"/>
      <c r="X17" s="106"/>
      <c r="Y17" s="106"/>
      <c r="Z17" s="121"/>
      <c r="AA17" s="121"/>
      <c r="AB17" s="121"/>
      <c r="AC17" s="121"/>
      <c r="AD17" s="121"/>
      <c r="AE17" s="121"/>
      <c r="AF17" s="121"/>
      <c r="AG17" s="121"/>
      <c r="AH17" s="121"/>
      <c r="AI17" s="121"/>
      <c r="AJ17" s="121"/>
      <c r="AK17" s="121"/>
      <c r="AL17" s="121"/>
      <c r="AM17" s="121"/>
      <c r="AN17" s="121"/>
      <c r="AO17" s="121"/>
      <c r="AP17" s="121"/>
    </row>
    <row r="18" spans="1:42" ht="41.65" customHeight="1">
      <c r="A18" s="111" t="s">
        <v>192</v>
      </c>
      <c r="B18" s="189" t="s">
        <v>193</v>
      </c>
      <c r="C18" s="105"/>
      <c r="D18" s="105"/>
      <c r="E18" s="105"/>
      <c r="F18" s="105"/>
      <c r="G18" s="106"/>
      <c r="H18" s="106"/>
      <c r="I18" s="106"/>
      <c r="J18" s="106"/>
      <c r="K18" s="106"/>
      <c r="L18" s="106"/>
      <c r="M18" s="106"/>
      <c r="N18" s="106"/>
      <c r="O18" s="106"/>
      <c r="P18" s="106"/>
      <c r="Q18" s="106"/>
      <c r="R18" s="106"/>
      <c r="S18" s="106"/>
      <c r="T18" s="106"/>
      <c r="U18" s="106"/>
      <c r="V18" s="106"/>
      <c r="W18" s="106"/>
      <c r="X18" s="106"/>
      <c r="Y18" s="106"/>
      <c r="Z18" s="121"/>
      <c r="AA18" s="121"/>
      <c r="AB18" s="121"/>
      <c r="AC18" s="121"/>
      <c r="AD18" s="121"/>
      <c r="AE18" s="121"/>
      <c r="AF18" s="121"/>
      <c r="AG18" s="121"/>
      <c r="AH18" s="121"/>
      <c r="AI18" s="121"/>
      <c r="AJ18" s="121"/>
      <c r="AK18" s="121"/>
      <c r="AL18" s="121"/>
      <c r="AM18" s="121"/>
      <c r="AN18" s="121"/>
      <c r="AO18" s="121"/>
      <c r="AP18" s="121"/>
    </row>
    <row r="19" spans="1:42" s="93" customFormat="1" ht="79.900000000000006" customHeight="1">
      <c r="A19" s="107" t="s">
        <v>194</v>
      </c>
      <c r="B19" s="108" t="s">
        <v>195</v>
      </c>
      <c r="C19" s="109"/>
      <c r="D19" s="109"/>
      <c r="E19" s="109"/>
      <c r="F19" s="109"/>
      <c r="G19" s="110"/>
      <c r="H19" s="110"/>
      <c r="I19" s="110"/>
      <c r="J19" s="110"/>
      <c r="K19" s="110"/>
      <c r="L19" s="110"/>
      <c r="M19" s="110"/>
      <c r="N19" s="110"/>
      <c r="O19" s="110"/>
      <c r="P19" s="110"/>
      <c r="Q19" s="110"/>
      <c r="R19" s="110"/>
      <c r="S19" s="110"/>
      <c r="T19" s="110"/>
      <c r="U19" s="110"/>
      <c r="V19" s="110"/>
      <c r="W19" s="110"/>
      <c r="X19" s="110"/>
      <c r="Y19" s="110"/>
      <c r="Z19" s="122"/>
      <c r="AA19" s="122"/>
      <c r="AB19" s="122"/>
      <c r="AC19" s="122"/>
      <c r="AD19" s="122"/>
      <c r="AE19" s="122"/>
      <c r="AF19" s="122"/>
      <c r="AG19" s="122"/>
      <c r="AH19" s="122"/>
      <c r="AI19" s="122"/>
      <c r="AJ19" s="122"/>
      <c r="AK19" s="122"/>
      <c r="AL19" s="122"/>
      <c r="AM19" s="122"/>
      <c r="AN19" s="122"/>
      <c r="AO19" s="122"/>
      <c r="AP19" s="122"/>
    </row>
    <row r="20" spans="1:42" s="94" customFormat="1" ht="46.15" customHeight="1">
      <c r="A20" s="111"/>
      <c r="B20" s="20" t="s">
        <v>196</v>
      </c>
      <c r="C20" s="112"/>
      <c r="D20" s="112"/>
      <c r="E20" s="112"/>
      <c r="F20" s="112"/>
      <c r="G20" s="113"/>
      <c r="H20" s="113"/>
      <c r="I20" s="113"/>
      <c r="J20" s="113"/>
      <c r="K20" s="113"/>
      <c r="L20" s="113"/>
      <c r="M20" s="113"/>
      <c r="N20" s="113"/>
      <c r="O20" s="113"/>
      <c r="P20" s="113"/>
      <c r="Q20" s="113"/>
      <c r="R20" s="113"/>
      <c r="S20" s="113"/>
      <c r="T20" s="113"/>
      <c r="U20" s="113"/>
      <c r="V20" s="113"/>
      <c r="W20" s="113"/>
      <c r="X20" s="113"/>
      <c r="Y20" s="113"/>
      <c r="Z20" s="123"/>
      <c r="AA20" s="123"/>
      <c r="AB20" s="123"/>
      <c r="AC20" s="123"/>
      <c r="AD20" s="123"/>
      <c r="AE20" s="123"/>
      <c r="AF20" s="123"/>
      <c r="AG20" s="123"/>
      <c r="AH20" s="123"/>
      <c r="AI20" s="123"/>
      <c r="AJ20" s="123"/>
      <c r="AK20" s="123"/>
      <c r="AL20" s="123"/>
      <c r="AM20" s="123"/>
      <c r="AN20" s="123"/>
      <c r="AO20" s="123"/>
      <c r="AP20" s="123"/>
    </row>
    <row r="21" spans="1:42" s="95" customFormat="1" ht="61.15" customHeight="1">
      <c r="A21" s="107" t="s">
        <v>197</v>
      </c>
      <c r="B21" s="108" t="s">
        <v>198</v>
      </c>
      <c r="C21" s="114"/>
      <c r="D21" s="114"/>
      <c r="E21" s="114"/>
      <c r="F21" s="114"/>
      <c r="G21" s="115"/>
      <c r="H21" s="115"/>
      <c r="I21" s="115"/>
      <c r="J21" s="115"/>
      <c r="K21" s="115"/>
      <c r="L21" s="115"/>
      <c r="M21" s="115"/>
      <c r="N21" s="115"/>
      <c r="O21" s="115"/>
      <c r="P21" s="115"/>
      <c r="Q21" s="115"/>
      <c r="R21" s="115"/>
      <c r="S21" s="115"/>
      <c r="T21" s="115"/>
      <c r="U21" s="115"/>
      <c r="V21" s="115"/>
      <c r="W21" s="115"/>
      <c r="X21" s="115"/>
      <c r="Y21" s="115"/>
      <c r="Z21" s="124"/>
      <c r="AA21" s="124"/>
      <c r="AB21" s="124"/>
      <c r="AC21" s="124"/>
      <c r="AD21" s="124"/>
      <c r="AE21" s="124"/>
      <c r="AF21" s="124"/>
      <c r="AG21" s="124"/>
      <c r="AH21" s="124"/>
      <c r="AI21" s="124"/>
      <c r="AJ21" s="124"/>
      <c r="AK21" s="124"/>
      <c r="AL21" s="124"/>
      <c r="AM21" s="124"/>
      <c r="AN21" s="124"/>
      <c r="AO21" s="124"/>
      <c r="AP21" s="124"/>
    </row>
    <row r="22" spans="1:42" s="95" customFormat="1" ht="100.9" customHeight="1">
      <c r="A22" s="107"/>
      <c r="B22" s="190" t="s">
        <v>199</v>
      </c>
      <c r="C22" s="114"/>
      <c r="D22" s="114"/>
      <c r="E22" s="114"/>
      <c r="F22" s="114"/>
      <c r="G22" s="115"/>
      <c r="H22" s="115"/>
      <c r="I22" s="115"/>
      <c r="J22" s="115"/>
      <c r="K22" s="115"/>
      <c r="L22" s="115"/>
      <c r="M22" s="115"/>
      <c r="N22" s="115"/>
      <c r="O22" s="115"/>
      <c r="P22" s="115"/>
      <c r="Q22" s="115"/>
      <c r="R22" s="115"/>
      <c r="S22" s="115"/>
      <c r="T22" s="115"/>
      <c r="U22" s="115"/>
      <c r="V22" s="115"/>
      <c r="W22" s="115"/>
      <c r="X22" s="115"/>
      <c r="Y22" s="115"/>
      <c r="Z22" s="124"/>
      <c r="AA22" s="124"/>
      <c r="AB22" s="124"/>
      <c r="AC22" s="124"/>
      <c r="AD22" s="124"/>
      <c r="AE22" s="124"/>
      <c r="AF22" s="124"/>
      <c r="AG22" s="124"/>
      <c r="AH22" s="124"/>
      <c r="AI22" s="124"/>
      <c r="AJ22" s="124"/>
      <c r="AK22" s="124"/>
      <c r="AL22" s="124"/>
      <c r="AM22" s="124"/>
      <c r="AN22" s="124"/>
      <c r="AO22" s="124"/>
      <c r="AP22" s="124"/>
    </row>
    <row r="23" spans="1:42" s="95" customFormat="1" ht="70.150000000000006" customHeight="1">
      <c r="A23" s="107"/>
      <c r="B23" s="20" t="s">
        <v>196</v>
      </c>
      <c r="C23" s="114"/>
      <c r="D23" s="114"/>
      <c r="E23" s="114"/>
      <c r="F23" s="114"/>
      <c r="G23" s="115"/>
      <c r="H23" s="115"/>
      <c r="I23" s="115"/>
      <c r="J23" s="115"/>
      <c r="K23" s="115"/>
      <c r="L23" s="115"/>
      <c r="M23" s="115"/>
      <c r="N23" s="115"/>
      <c r="O23" s="115"/>
      <c r="P23" s="115"/>
      <c r="Q23" s="115"/>
      <c r="R23" s="115"/>
      <c r="S23" s="115"/>
      <c r="T23" s="115"/>
      <c r="U23" s="115"/>
      <c r="V23" s="115"/>
      <c r="W23" s="115"/>
      <c r="X23" s="115"/>
      <c r="Y23" s="115"/>
      <c r="Z23" s="124"/>
      <c r="AA23" s="124"/>
      <c r="AB23" s="124"/>
      <c r="AC23" s="124"/>
      <c r="AD23" s="124"/>
      <c r="AE23" s="124"/>
      <c r="AF23" s="124"/>
      <c r="AG23" s="124"/>
      <c r="AH23" s="124"/>
      <c r="AI23" s="124"/>
      <c r="AJ23" s="124"/>
      <c r="AK23" s="124"/>
      <c r="AL23" s="124"/>
      <c r="AM23" s="124"/>
      <c r="AN23" s="124"/>
      <c r="AO23" s="124"/>
      <c r="AP23" s="124"/>
    </row>
    <row r="24" spans="1:42" s="93" customFormat="1" ht="76.150000000000006" customHeight="1">
      <c r="A24" s="107"/>
      <c r="B24" s="190" t="s">
        <v>200</v>
      </c>
      <c r="C24" s="109"/>
      <c r="D24" s="109"/>
      <c r="E24" s="109"/>
      <c r="F24" s="109"/>
      <c r="G24" s="110"/>
      <c r="H24" s="110"/>
      <c r="I24" s="110"/>
      <c r="J24" s="110"/>
      <c r="K24" s="110"/>
      <c r="L24" s="110"/>
      <c r="M24" s="110"/>
      <c r="N24" s="110"/>
      <c r="O24" s="110"/>
      <c r="P24" s="110"/>
      <c r="Q24" s="110"/>
      <c r="R24" s="110"/>
      <c r="S24" s="110"/>
      <c r="T24" s="110"/>
      <c r="U24" s="110"/>
      <c r="V24" s="110"/>
      <c r="W24" s="110"/>
      <c r="X24" s="110"/>
      <c r="Y24" s="110"/>
      <c r="Z24" s="122"/>
      <c r="AA24" s="122"/>
      <c r="AB24" s="122"/>
      <c r="AC24" s="122"/>
      <c r="AD24" s="122"/>
      <c r="AE24" s="122"/>
      <c r="AF24" s="122"/>
      <c r="AG24" s="122"/>
      <c r="AH24" s="122"/>
      <c r="AI24" s="122"/>
      <c r="AJ24" s="122"/>
      <c r="AK24" s="122"/>
      <c r="AL24" s="122"/>
      <c r="AM24" s="122"/>
      <c r="AN24" s="122"/>
      <c r="AO24" s="122"/>
      <c r="AP24" s="122"/>
    </row>
    <row r="25" spans="1:42" s="94" customFormat="1" ht="55.9" customHeight="1">
      <c r="A25" s="111"/>
      <c r="B25" s="20" t="s">
        <v>196</v>
      </c>
      <c r="C25" s="112"/>
      <c r="D25" s="112"/>
      <c r="E25" s="112"/>
      <c r="F25" s="112"/>
      <c r="G25" s="113"/>
      <c r="H25" s="113"/>
      <c r="I25" s="113"/>
      <c r="J25" s="113"/>
      <c r="K25" s="113"/>
      <c r="L25" s="113"/>
      <c r="M25" s="113"/>
      <c r="N25" s="113"/>
      <c r="O25" s="113"/>
      <c r="P25" s="113"/>
      <c r="Q25" s="113"/>
      <c r="R25" s="113"/>
      <c r="S25" s="113"/>
      <c r="T25" s="113"/>
      <c r="U25" s="113"/>
      <c r="V25" s="113"/>
      <c r="W25" s="113"/>
      <c r="X25" s="113"/>
      <c r="Y25" s="113"/>
      <c r="Z25" s="123"/>
      <c r="AA25" s="123"/>
      <c r="AB25" s="123"/>
      <c r="AC25" s="123"/>
      <c r="AD25" s="123"/>
      <c r="AE25" s="123"/>
      <c r="AF25" s="123"/>
      <c r="AG25" s="123"/>
      <c r="AH25" s="123"/>
      <c r="AI25" s="123"/>
      <c r="AJ25" s="123"/>
      <c r="AK25" s="123"/>
      <c r="AL25" s="123"/>
      <c r="AM25" s="123"/>
      <c r="AN25" s="123"/>
      <c r="AO25" s="123"/>
      <c r="AP25" s="123"/>
    </row>
    <row r="26" spans="1:42" s="94" customFormat="1" ht="60.4" customHeight="1">
      <c r="A26" s="15" t="s">
        <v>30</v>
      </c>
      <c r="B26" s="104" t="s">
        <v>201</v>
      </c>
      <c r="C26" s="112"/>
      <c r="D26" s="112"/>
      <c r="E26" s="112"/>
      <c r="F26" s="112"/>
      <c r="G26" s="113"/>
      <c r="H26" s="113"/>
      <c r="I26" s="113"/>
      <c r="J26" s="113"/>
      <c r="K26" s="113"/>
      <c r="L26" s="113"/>
      <c r="M26" s="113"/>
      <c r="N26" s="113"/>
      <c r="O26" s="113"/>
      <c r="P26" s="113"/>
      <c r="Q26" s="113"/>
      <c r="R26" s="113"/>
      <c r="S26" s="113"/>
      <c r="T26" s="113"/>
      <c r="U26" s="113"/>
      <c r="V26" s="113"/>
      <c r="W26" s="113"/>
      <c r="X26" s="113"/>
      <c r="Y26" s="113"/>
      <c r="Z26" s="123"/>
      <c r="AA26" s="123"/>
      <c r="AB26" s="123"/>
      <c r="AC26" s="123"/>
      <c r="AD26" s="123"/>
      <c r="AE26" s="123"/>
      <c r="AF26" s="123"/>
      <c r="AG26" s="123"/>
      <c r="AH26" s="123"/>
      <c r="AI26" s="123"/>
      <c r="AJ26" s="123"/>
      <c r="AK26" s="123"/>
      <c r="AL26" s="123"/>
      <c r="AM26" s="123"/>
      <c r="AN26" s="123"/>
      <c r="AO26" s="123"/>
      <c r="AP26" s="123"/>
    </row>
    <row r="27" spans="1:42" s="93" customFormat="1" ht="76.900000000000006" customHeight="1">
      <c r="A27" s="107" t="s">
        <v>188</v>
      </c>
      <c r="B27" s="108" t="s">
        <v>202</v>
      </c>
      <c r="C27" s="109"/>
      <c r="D27" s="109"/>
      <c r="E27" s="109"/>
      <c r="F27" s="109"/>
      <c r="G27" s="110"/>
      <c r="H27" s="110"/>
      <c r="I27" s="110"/>
      <c r="J27" s="110"/>
      <c r="K27" s="110"/>
      <c r="L27" s="110"/>
      <c r="M27" s="110"/>
      <c r="N27" s="110"/>
      <c r="O27" s="110"/>
      <c r="P27" s="110"/>
      <c r="Q27" s="110"/>
      <c r="R27" s="110"/>
      <c r="S27" s="110"/>
      <c r="T27" s="110"/>
      <c r="U27" s="110"/>
      <c r="V27" s="110"/>
      <c r="W27" s="110"/>
      <c r="X27" s="110"/>
      <c r="Y27" s="110"/>
      <c r="Z27" s="122"/>
      <c r="AA27" s="122"/>
      <c r="AB27" s="122"/>
      <c r="AC27" s="122"/>
      <c r="AD27" s="122"/>
      <c r="AE27" s="122"/>
      <c r="AF27" s="122"/>
      <c r="AG27" s="122"/>
      <c r="AH27" s="122"/>
      <c r="AI27" s="122"/>
      <c r="AJ27" s="122"/>
      <c r="AK27" s="122"/>
      <c r="AL27" s="122"/>
      <c r="AM27" s="122"/>
      <c r="AN27" s="122"/>
      <c r="AO27" s="122"/>
      <c r="AP27" s="122"/>
    </row>
    <row r="28" spans="1:42" ht="54" customHeight="1">
      <c r="A28" s="111"/>
      <c r="B28" s="20" t="s">
        <v>196</v>
      </c>
      <c r="C28" s="105"/>
      <c r="D28" s="105"/>
      <c r="E28" s="105"/>
      <c r="F28" s="105"/>
      <c r="G28" s="106"/>
      <c r="H28" s="106"/>
      <c r="I28" s="106"/>
      <c r="J28" s="106"/>
      <c r="K28" s="106"/>
      <c r="L28" s="106"/>
      <c r="M28" s="106"/>
      <c r="N28" s="106"/>
      <c r="O28" s="106"/>
      <c r="P28" s="106"/>
      <c r="Q28" s="106"/>
      <c r="R28" s="106"/>
      <c r="S28" s="106"/>
      <c r="T28" s="106"/>
      <c r="U28" s="106"/>
      <c r="V28" s="106"/>
      <c r="W28" s="106"/>
      <c r="X28" s="106"/>
      <c r="Y28" s="106"/>
      <c r="Z28" s="121"/>
      <c r="AA28" s="121"/>
      <c r="AB28" s="121"/>
      <c r="AC28" s="121"/>
      <c r="AD28" s="121"/>
      <c r="AE28" s="121"/>
      <c r="AF28" s="121"/>
      <c r="AG28" s="121"/>
      <c r="AH28" s="121"/>
      <c r="AI28" s="121"/>
      <c r="AJ28" s="121"/>
      <c r="AK28" s="121"/>
      <c r="AL28" s="121"/>
      <c r="AM28" s="121"/>
      <c r="AN28" s="121"/>
      <c r="AO28" s="121"/>
      <c r="AP28" s="121"/>
    </row>
    <row r="29" spans="1:42" s="95" customFormat="1" ht="61.9" customHeight="1">
      <c r="A29" s="107" t="s">
        <v>194</v>
      </c>
      <c r="B29" s="108" t="s">
        <v>198</v>
      </c>
      <c r="C29" s="114"/>
      <c r="D29" s="114"/>
      <c r="E29" s="114"/>
      <c r="F29" s="114"/>
      <c r="G29" s="115"/>
      <c r="H29" s="115"/>
      <c r="I29" s="115"/>
      <c r="J29" s="115"/>
      <c r="K29" s="115"/>
      <c r="L29" s="115"/>
      <c r="M29" s="115"/>
      <c r="N29" s="115"/>
      <c r="O29" s="115"/>
      <c r="P29" s="115"/>
      <c r="Q29" s="115"/>
      <c r="R29" s="115"/>
      <c r="S29" s="115"/>
      <c r="T29" s="115"/>
      <c r="U29" s="115"/>
      <c r="V29" s="115"/>
      <c r="W29" s="115"/>
      <c r="X29" s="115"/>
      <c r="Y29" s="115"/>
      <c r="Z29" s="124"/>
      <c r="AA29" s="124"/>
      <c r="AB29" s="124"/>
      <c r="AC29" s="124"/>
      <c r="AD29" s="124"/>
      <c r="AE29" s="124"/>
      <c r="AF29" s="124"/>
      <c r="AG29" s="124"/>
      <c r="AH29" s="124"/>
      <c r="AI29" s="124"/>
      <c r="AJ29" s="124"/>
      <c r="AK29" s="124"/>
      <c r="AL29" s="124"/>
      <c r="AM29" s="124"/>
      <c r="AN29" s="124"/>
      <c r="AO29" s="124"/>
      <c r="AP29" s="124"/>
    </row>
    <row r="30" spans="1:42" s="95" customFormat="1" ht="94.15" customHeight="1">
      <c r="A30" s="107"/>
      <c r="B30" s="190" t="s">
        <v>199</v>
      </c>
      <c r="C30" s="114"/>
      <c r="D30" s="114"/>
      <c r="E30" s="114"/>
      <c r="F30" s="114"/>
      <c r="G30" s="115"/>
      <c r="H30" s="115"/>
      <c r="I30" s="115"/>
      <c r="J30" s="115"/>
      <c r="K30" s="115"/>
      <c r="L30" s="115"/>
      <c r="M30" s="115"/>
      <c r="N30" s="115"/>
      <c r="O30" s="115"/>
      <c r="P30" s="115"/>
      <c r="Q30" s="115"/>
      <c r="R30" s="115"/>
      <c r="S30" s="115"/>
      <c r="T30" s="115"/>
      <c r="U30" s="115"/>
      <c r="V30" s="115"/>
      <c r="W30" s="115"/>
      <c r="X30" s="115"/>
      <c r="Y30" s="115"/>
      <c r="Z30" s="124"/>
      <c r="AA30" s="124"/>
      <c r="AB30" s="124"/>
      <c r="AC30" s="124"/>
      <c r="AD30" s="124"/>
      <c r="AE30" s="124"/>
      <c r="AF30" s="124"/>
      <c r="AG30" s="124"/>
      <c r="AH30" s="124"/>
      <c r="AI30" s="124"/>
      <c r="AJ30" s="124"/>
      <c r="AK30" s="124"/>
      <c r="AL30" s="124"/>
      <c r="AM30" s="124"/>
      <c r="AN30" s="124"/>
      <c r="AO30" s="124"/>
      <c r="AP30" s="124"/>
    </row>
    <row r="31" spans="1:42" s="95" customFormat="1" ht="46.15" customHeight="1">
      <c r="A31" s="107"/>
      <c r="B31" s="20" t="s">
        <v>196</v>
      </c>
      <c r="C31" s="114"/>
      <c r="D31" s="114"/>
      <c r="E31" s="114"/>
      <c r="F31" s="114"/>
      <c r="G31" s="115"/>
      <c r="H31" s="115"/>
      <c r="I31" s="115"/>
      <c r="J31" s="115"/>
      <c r="K31" s="115"/>
      <c r="L31" s="115"/>
      <c r="M31" s="115"/>
      <c r="N31" s="115"/>
      <c r="O31" s="115"/>
      <c r="P31" s="115"/>
      <c r="Q31" s="115"/>
      <c r="R31" s="115"/>
      <c r="S31" s="115"/>
      <c r="T31" s="115"/>
      <c r="U31" s="115"/>
      <c r="V31" s="115"/>
      <c r="W31" s="115"/>
      <c r="X31" s="115"/>
      <c r="Y31" s="115"/>
      <c r="Z31" s="124"/>
      <c r="AA31" s="124"/>
      <c r="AB31" s="124"/>
      <c r="AC31" s="124"/>
      <c r="AD31" s="124"/>
      <c r="AE31" s="124"/>
      <c r="AF31" s="124"/>
      <c r="AG31" s="124"/>
      <c r="AH31" s="124"/>
      <c r="AI31" s="124"/>
      <c r="AJ31" s="124"/>
      <c r="AK31" s="124"/>
      <c r="AL31" s="124"/>
      <c r="AM31" s="124"/>
      <c r="AN31" s="124"/>
      <c r="AO31" s="124"/>
      <c r="AP31" s="124"/>
    </row>
    <row r="32" spans="1:42" s="93" customFormat="1" ht="66" customHeight="1">
      <c r="A32" s="107"/>
      <c r="B32" s="190" t="s">
        <v>200</v>
      </c>
      <c r="C32" s="109"/>
      <c r="D32" s="109"/>
      <c r="E32" s="109"/>
      <c r="F32" s="109"/>
      <c r="G32" s="110"/>
      <c r="H32" s="110"/>
      <c r="I32" s="110"/>
      <c r="J32" s="110"/>
      <c r="K32" s="110"/>
      <c r="L32" s="110"/>
      <c r="M32" s="110"/>
      <c r="N32" s="110"/>
      <c r="O32" s="110"/>
      <c r="P32" s="110"/>
      <c r="Q32" s="110"/>
      <c r="R32" s="110"/>
      <c r="S32" s="110"/>
      <c r="T32" s="110"/>
      <c r="U32" s="110"/>
      <c r="V32" s="110"/>
      <c r="W32" s="110"/>
      <c r="X32" s="110"/>
      <c r="Y32" s="110"/>
      <c r="Z32" s="122"/>
      <c r="AA32" s="122"/>
      <c r="AB32" s="122"/>
      <c r="AC32" s="122"/>
      <c r="AD32" s="122"/>
      <c r="AE32" s="122"/>
      <c r="AF32" s="122"/>
      <c r="AG32" s="122"/>
      <c r="AH32" s="122"/>
      <c r="AI32" s="122"/>
      <c r="AJ32" s="122"/>
      <c r="AK32" s="122"/>
      <c r="AL32" s="122"/>
      <c r="AM32" s="122"/>
      <c r="AN32" s="122"/>
      <c r="AO32" s="122"/>
      <c r="AP32" s="122"/>
    </row>
    <row r="33" spans="1:42" s="94" customFormat="1" ht="66" customHeight="1">
      <c r="A33" s="111"/>
      <c r="B33" s="20" t="s">
        <v>196</v>
      </c>
      <c r="C33" s="112"/>
      <c r="D33" s="112"/>
      <c r="E33" s="112"/>
      <c r="F33" s="112"/>
      <c r="G33" s="113"/>
      <c r="H33" s="113"/>
      <c r="I33" s="113"/>
      <c r="J33" s="113"/>
      <c r="K33" s="113"/>
      <c r="L33" s="113"/>
      <c r="M33" s="113"/>
      <c r="N33" s="113"/>
      <c r="O33" s="113"/>
      <c r="P33" s="113"/>
      <c r="Q33" s="113"/>
      <c r="R33" s="113"/>
      <c r="S33" s="113"/>
      <c r="T33" s="113"/>
      <c r="U33" s="113"/>
      <c r="V33" s="113"/>
      <c r="W33" s="113"/>
      <c r="X33" s="113"/>
      <c r="Y33" s="113"/>
      <c r="Z33" s="123"/>
      <c r="AA33" s="123"/>
      <c r="AB33" s="123"/>
      <c r="AC33" s="123"/>
      <c r="AD33" s="123"/>
      <c r="AE33" s="123"/>
      <c r="AF33" s="123"/>
      <c r="AG33" s="123"/>
      <c r="AH33" s="123"/>
      <c r="AI33" s="123"/>
      <c r="AJ33" s="123"/>
      <c r="AK33" s="123"/>
      <c r="AL33" s="123"/>
      <c r="AM33" s="123"/>
      <c r="AN33" s="123"/>
      <c r="AO33" s="123"/>
      <c r="AP33" s="123"/>
    </row>
    <row r="34" spans="1:42" ht="60" customHeight="1">
      <c r="A34" s="15" t="s">
        <v>32</v>
      </c>
      <c r="B34" s="104" t="s">
        <v>203</v>
      </c>
      <c r="C34" s="105"/>
      <c r="D34" s="105"/>
      <c r="E34" s="105"/>
      <c r="F34" s="105"/>
      <c r="G34" s="106"/>
      <c r="H34" s="106"/>
      <c r="I34" s="106"/>
      <c r="J34" s="106"/>
      <c r="K34" s="106"/>
      <c r="L34" s="106"/>
      <c r="M34" s="106"/>
      <c r="N34" s="106"/>
      <c r="O34" s="106"/>
      <c r="P34" s="106"/>
      <c r="Q34" s="106"/>
      <c r="R34" s="106"/>
      <c r="S34" s="106"/>
      <c r="T34" s="106"/>
      <c r="U34" s="106"/>
      <c r="V34" s="106"/>
      <c r="W34" s="106"/>
      <c r="X34" s="106"/>
      <c r="Y34" s="106"/>
      <c r="Z34" s="121"/>
      <c r="AA34" s="121"/>
      <c r="AB34" s="121"/>
      <c r="AC34" s="121"/>
      <c r="AD34" s="121"/>
      <c r="AE34" s="121"/>
      <c r="AF34" s="121"/>
      <c r="AG34" s="121"/>
      <c r="AH34" s="121"/>
      <c r="AI34" s="121"/>
      <c r="AJ34" s="121"/>
      <c r="AK34" s="121"/>
      <c r="AL34" s="121"/>
      <c r="AM34" s="121"/>
      <c r="AN34" s="121"/>
      <c r="AO34" s="121"/>
      <c r="AP34" s="121"/>
    </row>
    <row r="35" spans="1:42" s="95" customFormat="1" ht="94.15" customHeight="1">
      <c r="A35" s="107"/>
      <c r="B35" s="190" t="s">
        <v>204</v>
      </c>
      <c r="C35" s="114"/>
      <c r="D35" s="114"/>
      <c r="E35" s="114"/>
      <c r="F35" s="114"/>
      <c r="G35" s="115"/>
      <c r="H35" s="115"/>
      <c r="I35" s="115"/>
      <c r="J35" s="115"/>
      <c r="K35" s="115"/>
      <c r="L35" s="115"/>
      <c r="M35" s="115"/>
      <c r="N35" s="115"/>
      <c r="O35" s="115"/>
      <c r="P35" s="115"/>
      <c r="Q35" s="115"/>
      <c r="R35" s="115"/>
      <c r="S35" s="115"/>
      <c r="T35" s="115"/>
      <c r="U35" s="115"/>
      <c r="V35" s="115"/>
      <c r="W35" s="115"/>
      <c r="X35" s="115"/>
      <c r="Y35" s="115"/>
      <c r="Z35" s="124"/>
      <c r="AA35" s="124"/>
      <c r="AB35" s="124"/>
      <c r="AC35" s="124"/>
      <c r="AD35" s="124"/>
      <c r="AE35" s="124"/>
      <c r="AF35" s="124"/>
      <c r="AG35" s="124"/>
      <c r="AH35" s="124"/>
      <c r="AI35" s="124"/>
      <c r="AJ35" s="124"/>
      <c r="AK35" s="124"/>
      <c r="AL35" s="124"/>
      <c r="AM35" s="124"/>
      <c r="AN35" s="124"/>
      <c r="AO35" s="124"/>
      <c r="AP35" s="124"/>
    </row>
    <row r="36" spans="1:42" s="93" customFormat="1" ht="52.15" customHeight="1">
      <c r="A36" s="107"/>
      <c r="B36" s="20" t="s">
        <v>196</v>
      </c>
      <c r="C36" s="109"/>
      <c r="D36" s="109"/>
      <c r="E36" s="109"/>
      <c r="F36" s="109"/>
      <c r="G36" s="110"/>
      <c r="H36" s="110"/>
      <c r="I36" s="110"/>
      <c r="J36" s="110"/>
      <c r="K36" s="110"/>
      <c r="L36" s="110"/>
      <c r="M36" s="110"/>
      <c r="N36" s="110"/>
      <c r="O36" s="110"/>
      <c r="P36" s="110"/>
      <c r="Q36" s="110"/>
      <c r="R36" s="110"/>
      <c r="S36" s="110"/>
      <c r="T36" s="110"/>
      <c r="U36" s="110"/>
      <c r="V36" s="110"/>
      <c r="W36" s="110"/>
      <c r="X36" s="110"/>
      <c r="Y36" s="110"/>
      <c r="Z36" s="122"/>
      <c r="AA36" s="122"/>
      <c r="AB36" s="122"/>
      <c r="AC36" s="122"/>
      <c r="AD36" s="122"/>
      <c r="AE36" s="122"/>
      <c r="AF36" s="122"/>
      <c r="AG36" s="122"/>
      <c r="AH36" s="122"/>
      <c r="AI36" s="122"/>
      <c r="AJ36" s="122"/>
      <c r="AK36" s="122"/>
      <c r="AL36" s="122"/>
      <c r="AM36" s="122"/>
      <c r="AN36" s="122"/>
      <c r="AO36" s="122"/>
      <c r="AP36" s="122"/>
    </row>
    <row r="37" spans="1:42" s="95" customFormat="1" ht="61.15" customHeight="1">
      <c r="A37" s="107"/>
      <c r="B37" s="190" t="s">
        <v>200</v>
      </c>
      <c r="C37" s="114"/>
      <c r="D37" s="114"/>
      <c r="E37" s="114"/>
      <c r="F37" s="114"/>
      <c r="G37" s="115"/>
      <c r="H37" s="115"/>
      <c r="I37" s="115"/>
      <c r="J37" s="115"/>
      <c r="K37" s="115"/>
      <c r="L37" s="115"/>
      <c r="M37" s="115"/>
      <c r="N37" s="115"/>
      <c r="O37" s="115"/>
      <c r="P37" s="115"/>
      <c r="Q37" s="115"/>
      <c r="R37" s="115"/>
      <c r="S37" s="115"/>
      <c r="T37" s="115"/>
      <c r="U37" s="115"/>
      <c r="V37" s="115"/>
      <c r="W37" s="115"/>
      <c r="X37" s="115"/>
      <c r="Y37" s="115"/>
      <c r="Z37" s="124"/>
      <c r="AA37" s="124"/>
      <c r="AB37" s="124"/>
      <c r="AC37" s="124"/>
      <c r="AD37" s="124"/>
      <c r="AE37" s="124"/>
      <c r="AF37" s="124"/>
      <c r="AG37" s="124"/>
      <c r="AH37" s="124"/>
      <c r="AI37" s="124"/>
      <c r="AJ37" s="124"/>
      <c r="AK37" s="124"/>
      <c r="AL37" s="124"/>
      <c r="AM37" s="124"/>
      <c r="AN37" s="124"/>
      <c r="AO37" s="124"/>
      <c r="AP37" s="124"/>
    </row>
    <row r="38" spans="1:42" s="93" customFormat="1" ht="54" customHeight="1">
      <c r="A38" s="107"/>
      <c r="B38" s="20" t="s">
        <v>196</v>
      </c>
      <c r="C38" s="109"/>
      <c r="D38" s="109"/>
      <c r="E38" s="109"/>
      <c r="F38" s="109"/>
      <c r="G38" s="110"/>
      <c r="H38" s="110"/>
      <c r="I38" s="110"/>
      <c r="J38" s="110"/>
      <c r="K38" s="110"/>
      <c r="L38" s="110"/>
      <c r="M38" s="110"/>
      <c r="N38" s="110"/>
      <c r="O38" s="110"/>
      <c r="P38" s="110"/>
      <c r="Q38" s="110"/>
      <c r="R38" s="110"/>
      <c r="S38" s="110"/>
      <c r="T38" s="110"/>
      <c r="U38" s="110"/>
      <c r="V38" s="110"/>
      <c r="W38" s="110"/>
      <c r="X38" s="110"/>
      <c r="Y38" s="110"/>
      <c r="Z38" s="122"/>
      <c r="AA38" s="122"/>
      <c r="AB38" s="122"/>
      <c r="AC38" s="122"/>
      <c r="AD38" s="122"/>
      <c r="AE38" s="122"/>
      <c r="AF38" s="122"/>
      <c r="AG38" s="122"/>
      <c r="AH38" s="122"/>
      <c r="AI38" s="122"/>
      <c r="AJ38" s="122"/>
      <c r="AK38" s="122"/>
      <c r="AL38" s="122"/>
      <c r="AM38" s="122"/>
      <c r="AN38" s="122"/>
      <c r="AO38" s="122"/>
      <c r="AP38" s="122"/>
    </row>
    <row r="39" spans="1:42" s="94" customFormat="1" ht="48" customHeight="1">
      <c r="A39" s="15" t="s">
        <v>109</v>
      </c>
      <c r="B39" s="104" t="s">
        <v>205</v>
      </c>
      <c r="C39" s="112"/>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06"/>
      <c r="AC39" s="106"/>
      <c r="AD39" s="106"/>
      <c r="AE39" s="106"/>
      <c r="AF39" s="106"/>
      <c r="AG39" s="106"/>
      <c r="AH39" s="106"/>
      <c r="AI39" s="106"/>
      <c r="AJ39" s="106"/>
      <c r="AK39" s="106"/>
      <c r="AL39" s="106"/>
      <c r="AM39" s="106"/>
      <c r="AN39" s="106"/>
      <c r="AO39" s="106"/>
      <c r="AP39" s="113"/>
    </row>
    <row r="40" spans="1:42" s="94" customFormat="1" ht="42.4" customHeight="1">
      <c r="A40" s="111"/>
      <c r="B40" s="20" t="s">
        <v>206</v>
      </c>
      <c r="C40" s="112"/>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23"/>
      <c r="AH40" s="123"/>
      <c r="AI40" s="113"/>
      <c r="AJ40" s="113"/>
      <c r="AK40" s="113"/>
      <c r="AL40" s="113"/>
      <c r="AM40" s="113"/>
      <c r="AN40" s="123"/>
      <c r="AO40" s="123"/>
      <c r="AP40" s="113"/>
    </row>
    <row r="41" spans="1:42" s="94" customFormat="1" ht="46.15" customHeight="1">
      <c r="A41" s="15" t="s">
        <v>122</v>
      </c>
      <c r="B41" s="104" t="s">
        <v>207</v>
      </c>
      <c r="C41" s="112"/>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0"/>
      <c r="AC41" s="110"/>
      <c r="AD41" s="110"/>
      <c r="AE41" s="110"/>
      <c r="AF41" s="110"/>
      <c r="AG41" s="122"/>
      <c r="AH41" s="122"/>
      <c r="AI41" s="110"/>
      <c r="AJ41" s="110"/>
      <c r="AK41" s="110"/>
      <c r="AL41" s="110"/>
      <c r="AM41" s="110"/>
      <c r="AN41" s="122"/>
      <c r="AO41" s="122"/>
      <c r="AP41" s="113"/>
    </row>
    <row r="42" spans="1:42" s="94" customFormat="1" ht="42.4" customHeight="1">
      <c r="A42" s="111"/>
      <c r="B42" s="20" t="s">
        <v>206</v>
      </c>
      <c r="C42" s="112"/>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06"/>
      <c r="AC42" s="106"/>
      <c r="AD42" s="106"/>
      <c r="AE42" s="106"/>
      <c r="AF42" s="106"/>
      <c r="AG42" s="121"/>
      <c r="AH42" s="121"/>
      <c r="AI42" s="106"/>
      <c r="AJ42" s="106"/>
      <c r="AK42" s="106"/>
      <c r="AL42" s="106"/>
      <c r="AM42" s="106"/>
      <c r="AN42" s="121"/>
      <c r="AO42" s="121"/>
      <c r="AP42" s="113"/>
    </row>
    <row r="43" spans="1:42" s="94" customFormat="1" ht="13.9" customHeight="1">
      <c r="A43" s="111"/>
      <c r="B43" s="20"/>
      <c r="C43" s="112"/>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06"/>
      <c r="AC43" s="106"/>
      <c r="AD43" s="106"/>
      <c r="AE43" s="106"/>
      <c r="AF43" s="106"/>
      <c r="AG43" s="121"/>
      <c r="AH43" s="121"/>
      <c r="AI43" s="106"/>
      <c r="AJ43" s="106"/>
      <c r="AK43" s="106"/>
      <c r="AL43" s="106"/>
      <c r="AM43" s="106"/>
      <c r="AN43" s="121"/>
      <c r="AO43" s="121"/>
      <c r="AP43" s="113"/>
    </row>
    <row r="44" spans="1:42" s="173" customFormat="1" ht="34.9" customHeight="1">
      <c r="A44" s="175"/>
      <c r="B44" s="1246" t="s">
        <v>208</v>
      </c>
      <c r="C44" s="1246"/>
      <c r="D44" s="1246"/>
      <c r="E44" s="1246"/>
      <c r="F44" s="1246"/>
      <c r="G44" s="1246"/>
      <c r="H44" s="1246"/>
      <c r="I44" s="1246"/>
      <c r="J44" s="1246"/>
      <c r="K44" s="1246"/>
      <c r="L44" s="1246"/>
      <c r="M44" s="1246"/>
      <c r="N44" s="1246"/>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row>
    <row r="45" spans="1:42" s="173" customFormat="1" ht="28.9" customHeight="1">
      <c r="A45" s="175"/>
      <c r="B45" s="1247" t="s">
        <v>209</v>
      </c>
      <c r="C45" s="1248"/>
      <c r="D45" s="1248"/>
      <c r="E45" s="1248"/>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row>
    <row r="46" spans="1:42" s="96" customFormat="1" ht="28.9" customHeight="1">
      <c r="A46" s="117"/>
      <c r="B46" s="1247" t="s">
        <v>210</v>
      </c>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row>
    <row r="47" spans="1:42" ht="0.4" hidden="1" customHeight="1">
      <c r="AB47" s="106"/>
      <c r="AC47" s="106"/>
      <c r="AD47" s="106"/>
      <c r="AE47" s="106"/>
      <c r="AF47" s="106"/>
      <c r="AG47" s="121"/>
      <c r="AH47" s="121"/>
      <c r="AI47" s="106"/>
      <c r="AJ47" s="106"/>
      <c r="AK47" s="106"/>
      <c r="AL47" s="106"/>
      <c r="AM47" s="106"/>
      <c r="AN47" s="121"/>
      <c r="AO47" s="121"/>
    </row>
    <row r="48" spans="1:42" s="157" customFormat="1" ht="25.5" customHeight="1">
      <c r="A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c r="AC48"/>
      <c r="AD48"/>
      <c r="AE48"/>
      <c r="AF48"/>
      <c r="AG48"/>
      <c r="AH48"/>
      <c r="AI48"/>
      <c r="AJ48"/>
      <c r="AK48"/>
      <c r="AL48"/>
      <c r="AM48"/>
      <c r="AN48"/>
      <c r="AO48"/>
    </row>
    <row r="49" spans="1:41" s="157" customFormat="1" ht="25.5" customHeight="1">
      <c r="A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c r="AC49"/>
      <c r="AD49"/>
      <c r="AE49"/>
      <c r="AF49"/>
      <c r="AG49"/>
      <c r="AH49"/>
      <c r="AI49"/>
      <c r="AJ49"/>
      <c r="AK49"/>
      <c r="AL49"/>
      <c r="AM49"/>
      <c r="AN49"/>
      <c r="AO49"/>
    </row>
    <row r="50" spans="1:41" s="157" customFormat="1" ht="25.5" customHeight="1">
      <c r="A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c r="AC50"/>
      <c r="AD50"/>
      <c r="AE50"/>
      <c r="AF50"/>
      <c r="AG50"/>
      <c r="AH50"/>
      <c r="AI50"/>
      <c r="AJ50"/>
      <c r="AK50"/>
      <c r="AL50"/>
      <c r="AM50"/>
      <c r="AN50"/>
      <c r="AO50"/>
    </row>
    <row r="51" spans="1:41" s="157" customFormat="1" ht="25.5" customHeight="1">
      <c r="A51" s="145"/>
      <c r="AB51"/>
      <c r="AC51"/>
      <c r="AD51"/>
      <c r="AE51"/>
      <c r="AF51"/>
      <c r="AG51"/>
      <c r="AH51"/>
      <c r="AI51"/>
      <c r="AJ51"/>
      <c r="AK51"/>
      <c r="AL51"/>
      <c r="AM51"/>
      <c r="AN51"/>
      <c r="AO51"/>
    </row>
    <row r="52" spans="1:41" s="157" customFormat="1" ht="25.5" customHeight="1">
      <c r="A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c r="AC52"/>
      <c r="AD52"/>
      <c r="AE52"/>
      <c r="AF52"/>
      <c r="AG52"/>
      <c r="AH52"/>
      <c r="AI52"/>
      <c r="AJ52"/>
      <c r="AK52"/>
      <c r="AL52"/>
      <c r="AM52"/>
      <c r="AN52"/>
      <c r="AO52"/>
    </row>
    <row r="53" spans="1:41" s="157" customFormat="1" ht="25.5" customHeight="1">
      <c r="A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c r="AC53"/>
      <c r="AD53"/>
      <c r="AE53"/>
      <c r="AF53"/>
      <c r="AG53"/>
      <c r="AH53"/>
      <c r="AI53"/>
      <c r="AJ53"/>
      <c r="AK53"/>
      <c r="AL53"/>
      <c r="AM53"/>
      <c r="AN53"/>
      <c r="AO53"/>
    </row>
    <row r="54" spans="1:41" s="157" customFormat="1" ht="25.5" customHeight="1">
      <c r="A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c r="AC54"/>
      <c r="AD54"/>
      <c r="AE54"/>
      <c r="AF54"/>
      <c r="AG54"/>
      <c r="AH54"/>
      <c r="AI54"/>
      <c r="AJ54"/>
      <c r="AK54"/>
      <c r="AL54"/>
      <c r="AM54"/>
      <c r="AN54"/>
      <c r="AO54"/>
    </row>
    <row r="55" spans="1:41" s="157" customFormat="1" ht="25.5" customHeight="1">
      <c r="A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row>
    <row r="56" spans="1:41" s="157" customFormat="1" ht="25.5" customHeight="1">
      <c r="A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row>
    <row r="57" spans="1:41" s="157" customFormat="1" ht="25.5" customHeight="1">
      <c r="A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row>
    <row r="58" spans="1:41" s="157" customFormat="1" ht="25.5" customHeight="1">
      <c r="A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row>
    <row r="59" spans="1:41" s="157" customFormat="1" ht="25.5" hidden="1" customHeight="1">
      <c r="A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row>
    <row r="60" spans="1:41" s="157" customFormat="1" ht="25.5" hidden="1" customHeight="1">
      <c r="A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row>
    <row r="61" spans="1:41" s="157" customFormat="1" ht="25.5" hidden="1" customHeight="1">
      <c r="AB61" s="145"/>
      <c r="AC61" s="145"/>
      <c r="AD61" s="145"/>
      <c r="AE61" s="145"/>
      <c r="AF61" s="145"/>
      <c r="AG61" s="145"/>
      <c r="AH61" s="145"/>
      <c r="AI61" s="145"/>
      <c r="AJ61" s="145"/>
      <c r="AK61" s="145"/>
      <c r="AL61" s="145"/>
      <c r="AM61" s="145"/>
      <c r="AN61" s="145"/>
      <c r="AO61" s="145"/>
    </row>
    <row r="62" spans="1:41" s="157" customFormat="1" ht="25.5" hidden="1" customHeight="1">
      <c r="AB62" s="145"/>
      <c r="AC62" s="145"/>
      <c r="AD62" s="145"/>
      <c r="AE62" s="145"/>
      <c r="AF62" s="145"/>
      <c r="AG62" s="145"/>
      <c r="AH62" s="145"/>
      <c r="AI62" s="145"/>
      <c r="AJ62" s="145"/>
      <c r="AK62" s="145"/>
      <c r="AL62" s="145"/>
      <c r="AM62" s="145"/>
      <c r="AN62" s="145"/>
      <c r="AO62" s="145"/>
    </row>
    <row r="63" spans="1:41" s="157" customFormat="1" ht="25.5" hidden="1" customHeight="1">
      <c r="A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row>
    <row r="64" spans="1:41" s="157" customFormat="1" ht="25.5" hidden="1" customHeight="1">
      <c r="AB64" s="145"/>
      <c r="AC64" s="145"/>
      <c r="AD64" s="145"/>
      <c r="AE64" s="145"/>
      <c r="AF64" s="145"/>
      <c r="AG64" s="145"/>
      <c r="AH64" s="145"/>
      <c r="AI64" s="145"/>
      <c r="AJ64" s="145"/>
      <c r="AK64" s="145"/>
      <c r="AL64" s="145"/>
      <c r="AM64" s="145"/>
      <c r="AN64" s="145"/>
      <c r="AO64" s="145"/>
    </row>
    <row r="65" spans="1:54" s="157" customFormat="1" ht="25.5" hidden="1" customHeight="1">
      <c r="AB65" s="145"/>
      <c r="AC65" s="145"/>
      <c r="AD65" s="145"/>
      <c r="AE65" s="145"/>
      <c r="AF65" s="145"/>
      <c r="AG65" s="145"/>
      <c r="AH65" s="145"/>
      <c r="AI65" s="145"/>
      <c r="AJ65" s="145"/>
      <c r="AK65" s="145"/>
      <c r="AL65" s="145"/>
      <c r="AM65" s="145"/>
      <c r="AN65" s="145"/>
      <c r="AO65" s="145"/>
    </row>
    <row r="66" spans="1:54" s="157" customFormat="1" ht="25.5" hidden="1" customHeight="1">
      <c r="AB66" s="145"/>
      <c r="AC66" s="145"/>
      <c r="AD66" s="145"/>
      <c r="AE66" s="145"/>
      <c r="AF66" s="145"/>
      <c r="AG66" s="145"/>
      <c r="AH66" s="145"/>
      <c r="AI66" s="145"/>
      <c r="AJ66" s="145"/>
      <c r="AK66" s="145"/>
      <c r="AL66" s="145"/>
      <c r="AM66" s="145"/>
      <c r="AN66" s="145"/>
      <c r="AO66" s="145"/>
    </row>
    <row r="67" spans="1:54" s="157" customFormat="1" ht="25.5" hidden="1" customHeight="1">
      <c r="AB67" s="145"/>
      <c r="AC67" s="145"/>
      <c r="AD67" s="145"/>
      <c r="AE67" s="145"/>
      <c r="AF67" s="145"/>
      <c r="AG67" s="145"/>
      <c r="AH67" s="145"/>
      <c r="AI67" s="145"/>
      <c r="AJ67" s="145"/>
      <c r="AK67" s="145"/>
      <c r="AL67" s="145"/>
      <c r="AM67" s="145"/>
      <c r="AN67" s="145"/>
      <c r="AO67" s="145"/>
    </row>
    <row r="68" spans="1:54" s="157" customFormat="1" ht="25.5" hidden="1" customHeight="1"/>
    <row r="69" spans="1:54" ht="19.899999999999999" customHeight="1">
      <c r="B69" s="1249"/>
      <c r="C69" s="1249"/>
      <c r="D69" s="1249"/>
      <c r="E69" s="1249"/>
      <c r="F69" s="1249"/>
      <c r="G69" s="1249"/>
      <c r="H69" s="1249"/>
      <c r="I69" s="1249"/>
      <c r="J69" s="1249"/>
      <c r="K69" s="1249"/>
      <c r="L69" s="1249"/>
      <c r="M69" s="1249"/>
      <c r="N69" s="1249"/>
      <c r="O69" s="1249"/>
      <c r="P69" s="1249"/>
      <c r="Q69" s="1249"/>
      <c r="R69" s="1249"/>
      <c r="S69" s="1249"/>
      <c r="T69" s="1249"/>
      <c r="U69" s="1249"/>
      <c r="V69" s="1249"/>
      <c r="W69" s="1249"/>
      <c r="X69" s="156"/>
      <c r="Y69" s="156"/>
      <c r="Z69" s="156"/>
      <c r="AA69" s="156"/>
      <c r="AB69" s="157"/>
      <c r="AC69" s="157"/>
      <c r="AD69" s="157"/>
      <c r="AE69" s="157"/>
      <c r="AF69" s="157"/>
      <c r="AG69" s="157"/>
      <c r="AH69" s="157"/>
      <c r="AI69" s="157"/>
      <c r="AJ69" s="157"/>
      <c r="AK69" s="157"/>
      <c r="AL69" s="157"/>
      <c r="AM69" s="157"/>
      <c r="AN69" s="157"/>
      <c r="AO69" s="157"/>
    </row>
    <row r="70" spans="1:54" ht="19.899999999999999" customHeight="1">
      <c r="AB70" s="145"/>
      <c r="AC70" s="145"/>
      <c r="AD70" s="145"/>
      <c r="AE70" s="145"/>
      <c r="AF70" s="145"/>
      <c r="AG70" s="145"/>
      <c r="AH70" s="145"/>
      <c r="AI70" s="145"/>
      <c r="AJ70" s="145"/>
      <c r="AK70" s="145"/>
      <c r="AL70" s="145"/>
      <c r="AM70" s="145"/>
      <c r="AN70" s="145"/>
      <c r="AO70" s="145"/>
    </row>
    <row r="71" spans="1:54" ht="19.899999999999999" customHeight="1">
      <c r="AB71" s="157"/>
      <c r="AC71" s="157"/>
      <c r="AD71" s="157"/>
      <c r="AE71" s="157"/>
      <c r="AF71" s="157"/>
      <c r="AG71" s="157"/>
      <c r="AH71" s="157"/>
      <c r="AI71" s="157"/>
      <c r="AJ71" s="157"/>
      <c r="AK71" s="157"/>
      <c r="AL71" s="157"/>
      <c r="AM71" s="157"/>
      <c r="AN71" s="157"/>
      <c r="AO71" s="157"/>
    </row>
    <row r="72" spans="1:54" ht="19.899999999999999" customHeight="1">
      <c r="AB72" s="157"/>
      <c r="AC72" s="157"/>
      <c r="AD72" s="157"/>
      <c r="AE72" s="157"/>
      <c r="AF72" s="157"/>
      <c r="AG72" s="157"/>
      <c r="AH72" s="157"/>
      <c r="AI72" s="157"/>
      <c r="AJ72" s="157"/>
      <c r="AK72" s="157"/>
      <c r="AL72" s="157"/>
      <c r="AM72" s="157"/>
      <c r="AN72" s="157"/>
      <c r="AO72" s="157"/>
    </row>
    <row r="73" spans="1:54" ht="19.899999999999999" customHeight="1">
      <c r="AB73" s="157"/>
      <c r="AC73" s="157"/>
      <c r="AD73" s="157"/>
      <c r="AE73" s="157"/>
      <c r="AF73" s="157"/>
      <c r="AG73" s="157"/>
      <c r="AH73" s="157"/>
      <c r="AI73" s="157"/>
      <c r="AJ73" s="157"/>
      <c r="AK73" s="157"/>
      <c r="AL73" s="157"/>
      <c r="AM73" s="157"/>
      <c r="AN73" s="157"/>
      <c r="AO73" s="157"/>
    </row>
    <row r="74" spans="1:54" ht="19.899999999999999" customHeight="1">
      <c r="AB74" s="157"/>
      <c r="AC74" s="157"/>
      <c r="AD74" s="157"/>
      <c r="AE74" s="157"/>
      <c r="AF74" s="157"/>
      <c r="AG74" s="157"/>
      <c r="AH74" s="157"/>
      <c r="AI74" s="157"/>
      <c r="AJ74" s="157"/>
      <c r="AK74" s="157"/>
      <c r="AL74" s="157"/>
      <c r="AM74" s="157"/>
      <c r="AN74" s="157"/>
      <c r="AO74" s="157"/>
    </row>
    <row r="75" spans="1:54" s="26" customFormat="1" ht="19.899999999999999" customHeight="1">
      <c r="A75" s="132"/>
      <c r="B75" s="133"/>
      <c r="C75" s="134"/>
      <c r="D75" s="134"/>
      <c r="AB75" s="157"/>
      <c r="AC75" s="157"/>
      <c r="AD75" s="157"/>
      <c r="AE75" s="157"/>
      <c r="AF75" s="157"/>
      <c r="AG75" s="157"/>
      <c r="AH75" s="157"/>
      <c r="AI75" s="157"/>
      <c r="AJ75" s="157"/>
      <c r="AK75" s="157"/>
      <c r="AL75" s="157"/>
      <c r="AM75" s="157"/>
      <c r="AN75" s="157"/>
      <c r="AO75" s="157"/>
      <c r="AQ75" s="92"/>
      <c r="AR75" s="92"/>
      <c r="AS75" s="92"/>
      <c r="AT75" s="92"/>
      <c r="AU75" s="92"/>
      <c r="AV75" s="92"/>
      <c r="AW75" s="92"/>
      <c r="AX75" s="92"/>
      <c r="AY75" s="92"/>
      <c r="AZ75" s="92"/>
      <c r="BA75" s="92"/>
      <c r="BB75" s="92"/>
    </row>
    <row r="76" spans="1:54" s="26" customFormat="1" ht="19.899999999999999" customHeight="1">
      <c r="A76" s="132"/>
      <c r="B76" s="133"/>
      <c r="C76" s="134"/>
      <c r="D76" s="134"/>
      <c r="AB76" s="156"/>
      <c r="AC76" s="156"/>
      <c r="AD76" s="156"/>
      <c r="AE76" s="156"/>
      <c r="AF76" s="156"/>
      <c r="AG76" s="156"/>
      <c r="AH76" s="156"/>
      <c r="AI76" s="156"/>
      <c r="AJ76" s="156"/>
      <c r="AK76" s="156"/>
      <c r="AL76" s="156"/>
      <c r="AM76" s="156"/>
      <c r="AN76" s="156"/>
      <c r="AO76" s="156"/>
      <c r="AQ76" s="92"/>
      <c r="AR76" s="92"/>
      <c r="AS76" s="92"/>
      <c r="AT76" s="92"/>
      <c r="AU76" s="92"/>
      <c r="AV76" s="92"/>
      <c r="AW76" s="92"/>
      <c r="AX76" s="92"/>
      <c r="AY76" s="92"/>
      <c r="AZ76" s="92"/>
      <c r="BA76" s="92"/>
      <c r="BB76" s="92"/>
    </row>
    <row r="77" spans="1:54" s="26" customFormat="1" ht="19.899999999999999" customHeight="1">
      <c r="A77" s="132"/>
      <c r="B77" s="133"/>
      <c r="C77" s="134"/>
      <c r="D77" s="134"/>
      <c r="AQ77" s="92"/>
      <c r="AR77" s="92"/>
      <c r="AS77" s="92"/>
      <c r="AT77" s="92"/>
      <c r="AU77" s="92"/>
      <c r="AV77" s="92"/>
      <c r="AW77" s="92"/>
      <c r="AX77" s="92"/>
      <c r="AY77" s="92"/>
      <c r="AZ77" s="92"/>
      <c r="BA77" s="92"/>
      <c r="BB77" s="92"/>
    </row>
    <row r="78" spans="1:54" s="26" customFormat="1" ht="19.899999999999999" customHeight="1">
      <c r="A78" s="132"/>
      <c r="B78" s="133"/>
      <c r="C78" s="134"/>
      <c r="D78" s="134"/>
      <c r="AQ78" s="92"/>
      <c r="AR78" s="92"/>
      <c r="AS78" s="92"/>
      <c r="AT78" s="92"/>
      <c r="AU78" s="92"/>
      <c r="AV78" s="92"/>
      <c r="AW78" s="92"/>
      <c r="AX78" s="92"/>
      <c r="AY78" s="92"/>
      <c r="AZ78" s="92"/>
      <c r="BA78" s="92"/>
      <c r="BB78" s="92"/>
    </row>
    <row r="79" spans="1:54" s="26" customFormat="1" ht="19.899999999999999" customHeight="1">
      <c r="A79" s="132"/>
      <c r="B79" s="133"/>
      <c r="C79" s="134"/>
      <c r="D79" s="134"/>
      <c r="AQ79" s="92"/>
      <c r="AR79" s="92"/>
      <c r="AS79" s="92"/>
      <c r="AT79" s="92"/>
      <c r="AU79" s="92"/>
      <c r="AV79" s="92"/>
      <c r="AW79" s="92"/>
      <c r="AX79" s="92"/>
      <c r="AY79" s="92"/>
      <c r="AZ79" s="92"/>
      <c r="BA79" s="92"/>
      <c r="BB79" s="92"/>
    </row>
    <row r="80" spans="1:54" s="26" customFormat="1" ht="19.899999999999999" customHeight="1">
      <c r="A80" s="132"/>
      <c r="B80" s="133"/>
      <c r="C80" s="134"/>
      <c r="D80" s="134"/>
      <c r="AQ80" s="92"/>
      <c r="AR80" s="92"/>
      <c r="AS80" s="92"/>
      <c r="AT80" s="92"/>
      <c r="AU80" s="92"/>
      <c r="AV80" s="92"/>
      <c r="AW80" s="92"/>
      <c r="AX80" s="92"/>
      <c r="AY80" s="92"/>
      <c r="AZ80" s="92"/>
      <c r="BA80" s="92"/>
      <c r="BB80" s="92"/>
    </row>
    <row r="81" spans="1:54" s="26" customFormat="1" ht="19.899999999999999" customHeight="1">
      <c r="A81" s="132"/>
      <c r="B81" s="133"/>
      <c r="C81" s="134"/>
      <c r="D81" s="134"/>
      <c r="AQ81" s="92"/>
      <c r="AR81" s="92"/>
      <c r="AS81" s="92"/>
      <c r="AT81" s="92"/>
      <c r="AU81" s="92"/>
      <c r="AV81" s="92"/>
      <c r="AW81" s="92"/>
      <c r="AX81" s="92"/>
      <c r="AY81" s="92"/>
      <c r="AZ81" s="92"/>
      <c r="BA81" s="92"/>
      <c r="BB81" s="92"/>
    </row>
    <row r="82" spans="1:54" s="26" customFormat="1" ht="19.899999999999999" customHeight="1">
      <c r="A82" s="132"/>
      <c r="B82" s="133"/>
      <c r="C82" s="134"/>
      <c r="D82" s="134"/>
      <c r="AQ82" s="92"/>
      <c r="AR82" s="92"/>
      <c r="AS82" s="92"/>
      <c r="AT82" s="92"/>
      <c r="AU82" s="92"/>
      <c r="AV82" s="92"/>
      <c r="AW82" s="92"/>
      <c r="AX82" s="92"/>
      <c r="AY82" s="92"/>
      <c r="AZ82" s="92"/>
      <c r="BA82" s="92"/>
      <c r="BB82" s="92"/>
    </row>
    <row r="83" spans="1:54" s="26" customFormat="1" ht="19.899999999999999" customHeight="1">
      <c r="A83" s="132"/>
      <c r="B83" s="133"/>
      <c r="C83" s="134"/>
      <c r="D83" s="134"/>
      <c r="AQ83" s="92"/>
      <c r="AR83" s="92"/>
      <c r="AS83" s="92"/>
      <c r="AT83" s="92"/>
      <c r="AU83" s="92"/>
      <c r="AV83" s="92"/>
      <c r="AW83" s="92"/>
      <c r="AX83" s="92"/>
      <c r="AY83" s="92"/>
      <c r="AZ83" s="92"/>
      <c r="BA83" s="92"/>
      <c r="BB83" s="92"/>
    </row>
    <row r="84" spans="1:54" s="26" customFormat="1">
      <c r="A84" s="132"/>
      <c r="B84" s="133"/>
      <c r="C84" s="134"/>
      <c r="D84" s="134"/>
      <c r="AQ84" s="92"/>
      <c r="AR84" s="92"/>
      <c r="AS84" s="92"/>
      <c r="AT84" s="92"/>
      <c r="AU84" s="92"/>
      <c r="AV84" s="92"/>
      <c r="AW84" s="92"/>
      <c r="AX84" s="92"/>
      <c r="AY84" s="92"/>
      <c r="AZ84" s="92"/>
      <c r="BA84" s="92"/>
      <c r="BB84" s="92"/>
    </row>
    <row r="85" spans="1:54" s="26" customFormat="1">
      <c r="A85" s="132"/>
      <c r="B85" s="133"/>
      <c r="C85" s="134"/>
      <c r="D85" s="134"/>
      <c r="AQ85" s="92"/>
      <c r="AR85" s="92"/>
      <c r="AS85" s="92"/>
      <c r="AT85" s="92"/>
      <c r="AU85" s="92"/>
      <c r="AV85" s="92"/>
      <c r="AW85" s="92"/>
      <c r="AX85" s="92"/>
      <c r="AY85" s="92"/>
      <c r="AZ85" s="92"/>
      <c r="BA85" s="92"/>
      <c r="BB85" s="92"/>
    </row>
    <row r="86" spans="1:54" s="26" customFormat="1">
      <c r="A86" s="132"/>
      <c r="B86" s="133"/>
      <c r="C86" s="134"/>
      <c r="D86" s="134"/>
      <c r="AQ86" s="92"/>
      <c r="AR86" s="92"/>
      <c r="AS86" s="92"/>
      <c r="AT86" s="92"/>
      <c r="AU86" s="92"/>
      <c r="AV86" s="92"/>
      <c r="AW86" s="92"/>
      <c r="AX86" s="92"/>
      <c r="AY86" s="92"/>
      <c r="AZ86" s="92"/>
      <c r="BA86" s="92"/>
      <c r="BB86" s="92"/>
    </row>
    <row r="87" spans="1:54" s="26" customFormat="1">
      <c r="A87" s="132"/>
      <c r="B87" s="133"/>
      <c r="C87" s="134"/>
      <c r="D87" s="134"/>
      <c r="AQ87" s="92"/>
      <c r="AR87" s="92"/>
      <c r="AS87" s="92"/>
      <c r="AT87" s="92"/>
      <c r="AU87" s="92"/>
      <c r="AV87" s="92"/>
      <c r="AW87" s="92"/>
      <c r="AX87" s="92"/>
      <c r="AY87" s="92"/>
      <c r="AZ87" s="92"/>
      <c r="BA87" s="92"/>
      <c r="BB87" s="92"/>
    </row>
    <row r="88" spans="1:54" s="26" customFormat="1">
      <c r="A88" s="132"/>
      <c r="B88" s="133"/>
      <c r="C88" s="134"/>
      <c r="D88" s="134"/>
      <c r="AQ88" s="92"/>
      <c r="AR88" s="92"/>
      <c r="AS88" s="92"/>
      <c r="AT88" s="92"/>
      <c r="AU88" s="92"/>
      <c r="AV88" s="92"/>
      <c r="AW88" s="92"/>
      <c r="AX88" s="92"/>
      <c r="AY88" s="92"/>
      <c r="AZ88" s="92"/>
      <c r="BA88" s="92"/>
      <c r="BB88" s="92"/>
    </row>
    <row r="89" spans="1:54" s="26" customFormat="1">
      <c r="A89" s="132"/>
      <c r="B89" s="133"/>
      <c r="C89" s="134"/>
      <c r="D89" s="134"/>
      <c r="AQ89" s="92"/>
      <c r="AR89" s="92"/>
      <c r="AS89" s="92"/>
      <c r="AT89" s="92"/>
      <c r="AU89" s="92"/>
      <c r="AV89" s="92"/>
      <c r="AW89" s="92"/>
      <c r="AX89" s="92"/>
      <c r="AY89" s="92"/>
      <c r="AZ89" s="92"/>
      <c r="BA89" s="92"/>
      <c r="BB89" s="92"/>
    </row>
    <row r="90" spans="1:54" s="26" customFormat="1">
      <c r="A90" s="132"/>
      <c r="B90" s="133"/>
      <c r="C90" s="134"/>
      <c r="D90" s="134"/>
      <c r="AQ90" s="92"/>
      <c r="AR90" s="92"/>
      <c r="AS90" s="92"/>
      <c r="AT90" s="92"/>
      <c r="AU90" s="92"/>
      <c r="AV90" s="92"/>
      <c r="AW90" s="92"/>
      <c r="AX90" s="92"/>
      <c r="AY90" s="92"/>
      <c r="AZ90" s="92"/>
      <c r="BA90" s="92"/>
      <c r="BB90" s="92"/>
    </row>
    <row r="91" spans="1:54" s="26" customFormat="1">
      <c r="A91" s="132"/>
      <c r="B91" s="133"/>
      <c r="C91" s="134"/>
      <c r="D91" s="134"/>
      <c r="AQ91" s="92"/>
      <c r="AR91" s="92"/>
      <c r="AS91" s="92"/>
      <c r="AT91" s="92"/>
      <c r="AU91" s="92"/>
      <c r="AV91" s="92"/>
      <c r="AW91" s="92"/>
      <c r="AX91" s="92"/>
      <c r="AY91" s="92"/>
      <c r="AZ91" s="92"/>
      <c r="BA91" s="92"/>
      <c r="BB91" s="92"/>
    </row>
    <row r="92" spans="1:54" s="26" customFormat="1">
      <c r="A92" s="132"/>
      <c r="B92" s="133"/>
      <c r="C92" s="134"/>
      <c r="D92" s="134"/>
      <c r="AQ92" s="92"/>
      <c r="AR92" s="92"/>
      <c r="AS92" s="92"/>
      <c r="AT92" s="92"/>
      <c r="AU92" s="92"/>
      <c r="AV92" s="92"/>
      <c r="AW92" s="92"/>
      <c r="AX92" s="92"/>
      <c r="AY92" s="92"/>
      <c r="AZ92" s="92"/>
      <c r="BA92" s="92"/>
      <c r="BB92" s="92"/>
    </row>
    <row r="93" spans="1:54" s="26" customFormat="1">
      <c r="A93" s="132"/>
      <c r="B93" s="133"/>
      <c r="C93" s="134"/>
      <c r="D93" s="134"/>
      <c r="AQ93" s="92"/>
      <c r="AR93" s="92"/>
      <c r="AS93" s="92"/>
      <c r="AT93" s="92"/>
      <c r="AU93" s="92"/>
      <c r="AV93" s="92"/>
      <c r="AW93" s="92"/>
      <c r="AX93" s="92"/>
      <c r="AY93" s="92"/>
      <c r="AZ93" s="92"/>
      <c r="BA93" s="92"/>
      <c r="BB93" s="92"/>
    </row>
    <row r="94" spans="1:54" s="26" customFormat="1">
      <c r="A94" s="132"/>
      <c r="B94" s="133"/>
      <c r="C94" s="134"/>
      <c r="D94" s="134"/>
      <c r="AQ94" s="92"/>
      <c r="AR94" s="92"/>
      <c r="AS94" s="92"/>
      <c r="AT94" s="92"/>
      <c r="AU94" s="92"/>
      <c r="AV94" s="92"/>
      <c r="AW94" s="92"/>
      <c r="AX94" s="92"/>
      <c r="AY94" s="92"/>
      <c r="AZ94" s="92"/>
      <c r="BA94" s="92"/>
      <c r="BB94" s="92"/>
    </row>
    <row r="95" spans="1:54" s="26" customFormat="1">
      <c r="A95" s="132"/>
      <c r="B95" s="133"/>
      <c r="C95" s="134"/>
      <c r="D95" s="134"/>
      <c r="AQ95" s="92"/>
      <c r="AR95" s="92"/>
      <c r="AS95" s="92"/>
      <c r="AT95" s="92"/>
      <c r="AU95" s="92"/>
      <c r="AV95" s="92"/>
      <c r="AW95" s="92"/>
      <c r="AX95" s="92"/>
      <c r="AY95" s="92"/>
      <c r="AZ95" s="92"/>
      <c r="BA95" s="92"/>
      <c r="BB95" s="92"/>
    </row>
    <row r="96" spans="1:54" s="26" customFormat="1">
      <c r="A96" s="132"/>
      <c r="B96" s="133"/>
      <c r="C96" s="134"/>
      <c r="D96" s="134"/>
      <c r="AQ96" s="92"/>
      <c r="AR96" s="92"/>
      <c r="AS96" s="92"/>
      <c r="AT96" s="92"/>
      <c r="AU96" s="92"/>
      <c r="AV96" s="92"/>
      <c r="AW96" s="92"/>
      <c r="AX96" s="92"/>
      <c r="AY96" s="92"/>
      <c r="AZ96" s="92"/>
      <c r="BA96" s="92"/>
      <c r="BB96" s="92"/>
    </row>
    <row r="97" spans="1:54" s="26" customFormat="1">
      <c r="A97" s="132"/>
      <c r="B97" s="133"/>
      <c r="C97" s="134"/>
      <c r="D97" s="134"/>
      <c r="AQ97" s="92"/>
      <c r="AR97" s="92"/>
      <c r="AS97" s="92"/>
      <c r="AT97" s="92"/>
      <c r="AU97" s="92"/>
      <c r="AV97" s="92"/>
      <c r="AW97" s="92"/>
      <c r="AX97" s="92"/>
      <c r="AY97" s="92"/>
      <c r="AZ97" s="92"/>
      <c r="BA97" s="92"/>
      <c r="BB97" s="92"/>
    </row>
    <row r="98" spans="1:54" s="26" customFormat="1">
      <c r="A98" s="132"/>
      <c r="B98" s="133"/>
      <c r="C98" s="134"/>
      <c r="D98" s="134"/>
      <c r="AQ98" s="92"/>
      <c r="AR98" s="92"/>
      <c r="AS98" s="92"/>
      <c r="AT98" s="92"/>
      <c r="AU98" s="92"/>
      <c r="AV98" s="92"/>
      <c r="AW98" s="92"/>
      <c r="AX98" s="92"/>
      <c r="AY98" s="92"/>
      <c r="AZ98" s="92"/>
      <c r="BA98" s="92"/>
      <c r="BB98" s="92"/>
    </row>
    <row r="99" spans="1:54" s="26" customFormat="1">
      <c r="A99" s="132"/>
      <c r="B99" s="133"/>
      <c r="C99" s="134"/>
      <c r="D99" s="134"/>
      <c r="AQ99" s="92"/>
      <c r="AR99" s="92"/>
      <c r="AS99" s="92"/>
      <c r="AT99" s="92"/>
      <c r="AU99" s="92"/>
      <c r="AV99" s="92"/>
      <c r="AW99" s="92"/>
      <c r="AX99" s="92"/>
      <c r="AY99" s="92"/>
      <c r="AZ99" s="92"/>
      <c r="BA99" s="92"/>
      <c r="BB99" s="92"/>
    </row>
    <row r="100" spans="1:54" s="26" customFormat="1">
      <c r="A100" s="132"/>
      <c r="B100" s="133"/>
      <c r="C100" s="134"/>
      <c r="D100" s="134"/>
      <c r="AQ100" s="92"/>
      <c r="AR100" s="92"/>
      <c r="AS100" s="92"/>
      <c r="AT100" s="92"/>
      <c r="AU100" s="92"/>
      <c r="AV100" s="92"/>
      <c r="AW100" s="92"/>
      <c r="AX100" s="92"/>
      <c r="AY100" s="92"/>
      <c r="AZ100" s="92"/>
      <c r="BA100" s="92"/>
      <c r="BB100" s="92"/>
    </row>
    <row r="101" spans="1:54" s="26" customFormat="1">
      <c r="A101" s="132"/>
      <c r="B101" s="133"/>
      <c r="C101" s="134"/>
      <c r="D101" s="134"/>
      <c r="AQ101" s="92"/>
      <c r="AR101" s="92"/>
      <c r="AS101" s="92"/>
      <c r="AT101" s="92"/>
      <c r="AU101" s="92"/>
      <c r="AV101" s="92"/>
      <c r="AW101" s="92"/>
      <c r="AX101" s="92"/>
      <c r="AY101" s="92"/>
      <c r="AZ101" s="92"/>
      <c r="BA101" s="92"/>
      <c r="BB101" s="92"/>
    </row>
    <row r="102" spans="1:54" s="26" customFormat="1">
      <c r="A102" s="132"/>
      <c r="B102" s="133"/>
      <c r="C102" s="134"/>
      <c r="D102" s="134"/>
      <c r="AQ102" s="92"/>
      <c r="AR102" s="92"/>
      <c r="AS102" s="92"/>
      <c r="AT102" s="92"/>
      <c r="AU102" s="92"/>
      <c r="AV102" s="92"/>
      <c r="AW102" s="92"/>
      <c r="AX102" s="92"/>
      <c r="AY102" s="92"/>
      <c r="AZ102" s="92"/>
      <c r="BA102" s="92"/>
      <c r="BB102" s="92"/>
    </row>
    <row r="103" spans="1:54" s="26" customFormat="1">
      <c r="A103" s="132"/>
      <c r="B103" s="133"/>
      <c r="C103" s="134"/>
      <c r="D103" s="134"/>
      <c r="AQ103" s="92"/>
      <c r="AR103" s="92"/>
      <c r="AS103" s="92"/>
      <c r="AT103" s="92"/>
      <c r="AU103" s="92"/>
      <c r="AV103" s="92"/>
      <c r="AW103" s="92"/>
      <c r="AX103" s="92"/>
      <c r="AY103" s="92"/>
      <c r="AZ103" s="92"/>
      <c r="BA103" s="92"/>
      <c r="BB103" s="92"/>
    </row>
    <row r="104" spans="1:54" s="26" customFormat="1">
      <c r="A104" s="132"/>
      <c r="B104" s="133"/>
      <c r="C104" s="134"/>
      <c r="D104" s="134"/>
      <c r="AQ104" s="92"/>
      <c r="AR104" s="92"/>
      <c r="AS104" s="92"/>
      <c r="AT104" s="92"/>
      <c r="AU104" s="92"/>
      <c r="AV104" s="92"/>
      <c r="AW104" s="92"/>
      <c r="AX104" s="92"/>
      <c r="AY104" s="92"/>
      <c r="AZ104" s="92"/>
      <c r="BA104" s="92"/>
      <c r="BB104" s="92"/>
    </row>
    <row r="105" spans="1:54" s="26" customFormat="1">
      <c r="A105" s="132"/>
      <c r="B105" s="133"/>
      <c r="C105" s="134"/>
      <c r="D105" s="134"/>
      <c r="AQ105" s="92"/>
      <c r="AR105" s="92"/>
      <c r="AS105" s="92"/>
      <c r="AT105" s="92"/>
      <c r="AU105" s="92"/>
      <c r="AV105" s="92"/>
      <c r="AW105" s="92"/>
      <c r="AX105" s="92"/>
      <c r="AY105" s="92"/>
      <c r="AZ105" s="92"/>
      <c r="BA105" s="92"/>
      <c r="BB105" s="92"/>
    </row>
    <row r="106" spans="1:54" s="26" customFormat="1">
      <c r="A106" s="132"/>
      <c r="B106" s="133"/>
      <c r="C106" s="134"/>
      <c r="D106" s="134"/>
      <c r="AQ106" s="92"/>
      <c r="AR106" s="92"/>
      <c r="AS106" s="92"/>
      <c r="AT106" s="92"/>
      <c r="AU106" s="92"/>
      <c r="AV106" s="92"/>
      <c r="AW106" s="92"/>
      <c r="AX106" s="92"/>
      <c r="AY106" s="92"/>
      <c r="AZ106" s="92"/>
      <c r="BA106" s="92"/>
      <c r="BB106" s="92"/>
    </row>
    <row r="107" spans="1:54" s="26" customFormat="1">
      <c r="A107" s="132"/>
      <c r="B107" s="133"/>
      <c r="C107" s="134"/>
      <c r="D107" s="134"/>
      <c r="AQ107" s="92"/>
      <c r="AR107" s="92"/>
      <c r="AS107" s="92"/>
      <c r="AT107" s="92"/>
      <c r="AU107" s="92"/>
      <c r="AV107" s="92"/>
      <c r="AW107" s="92"/>
      <c r="AX107" s="92"/>
      <c r="AY107" s="92"/>
      <c r="AZ107" s="92"/>
      <c r="BA107" s="92"/>
      <c r="BB107" s="92"/>
    </row>
    <row r="108" spans="1:54" s="26" customFormat="1">
      <c r="A108" s="132"/>
      <c r="B108" s="133"/>
      <c r="C108" s="134"/>
      <c r="D108" s="134"/>
      <c r="AQ108" s="92"/>
      <c r="AR108" s="92"/>
      <c r="AS108" s="92"/>
      <c r="AT108" s="92"/>
      <c r="AU108" s="92"/>
      <c r="AV108" s="92"/>
      <c r="AW108" s="92"/>
      <c r="AX108" s="92"/>
      <c r="AY108" s="92"/>
      <c r="AZ108" s="92"/>
      <c r="BA108" s="92"/>
      <c r="BB108" s="92"/>
    </row>
    <row r="109" spans="1:54" s="26" customFormat="1">
      <c r="A109" s="132"/>
      <c r="B109" s="133"/>
      <c r="C109" s="134"/>
      <c r="D109" s="134"/>
      <c r="AQ109" s="92"/>
      <c r="AR109" s="92"/>
      <c r="AS109" s="92"/>
      <c r="AT109" s="92"/>
      <c r="AU109" s="92"/>
      <c r="AV109" s="92"/>
      <c r="AW109" s="92"/>
      <c r="AX109" s="92"/>
      <c r="AY109" s="92"/>
      <c r="AZ109" s="92"/>
      <c r="BA109" s="92"/>
      <c r="BB109" s="92"/>
    </row>
    <row r="110" spans="1:54" s="26" customFormat="1">
      <c r="A110" s="132"/>
      <c r="B110" s="133"/>
      <c r="C110" s="134"/>
      <c r="D110" s="134"/>
      <c r="AQ110" s="92"/>
      <c r="AR110" s="92"/>
      <c r="AS110" s="92"/>
      <c r="AT110" s="92"/>
      <c r="AU110" s="92"/>
      <c r="AV110" s="92"/>
      <c r="AW110" s="92"/>
      <c r="AX110" s="92"/>
      <c r="AY110" s="92"/>
      <c r="AZ110" s="92"/>
      <c r="BA110" s="92"/>
      <c r="BB110" s="92"/>
    </row>
    <row r="111" spans="1:54" s="26" customFormat="1">
      <c r="A111" s="132"/>
      <c r="B111" s="133"/>
      <c r="C111" s="134"/>
      <c r="D111" s="134"/>
      <c r="AQ111" s="92"/>
      <c r="AR111" s="92"/>
      <c r="AS111" s="92"/>
      <c r="AT111" s="92"/>
      <c r="AU111" s="92"/>
      <c r="AV111" s="92"/>
      <c r="AW111" s="92"/>
      <c r="AX111" s="92"/>
      <c r="AY111" s="92"/>
      <c r="AZ111" s="92"/>
      <c r="BA111" s="92"/>
      <c r="BB111" s="92"/>
    </row>
    <row r="112" spans="1:54" s="26" customFormat="1">
      <c r="A112" s="132"/>
      <c r="B112" s="133"/>
      <c r="C112" s="134"/>
      <c r="D112" s="134"/>
      <c r="AQ112" s="92"/>
      <c r="AR112" s="92"/>
      <c r="AS112" s="92"/>
      <c r="AT112" s="92"/>
      <c r="AU112" s="92"/>
      <c r="AV112" s="92"/>
      <c r="AW112" s="92"/>
      <c r="AX112" s="92"/>
      <c r="AY112" s="92"/>
      <c r="AZ112" s="92"/>
      <c r="BA112" s="92"/>
      <c r="BB112" s="92"/>
    </row>
    <row r="113" spans="1:54" s="26" customFormat="1">
      <c r="A113" s="132"/>
      <c r="B113" s="133"/>
      <c r="C113" s="134"/>
      <c r="D113" s="134"/>
      <c r="AQ113" s="92"/>
      <c r="AR113" s="92"/>
      <c r="AS113" s="92"/>
      <c r="AT113" s="92"/>
      <c r="AU113" s="92"/>
      <c r="AV113" s="92"/>
      <c r="AW113" s="92"/>
      <c r="AX113" s="92"/>
      <c r="AY113" s="92"/>
      <c r="AZ113" s="92"/>
      <c r="BA113" s="92"/>
      <c r="BB113" s="92"/>
    </row>
    <row r="114" spans="1:54" s="26" customFormat="1">
      <c r="A114" s="132"/>
      <c r="B114" s="133"/>
      <c r="C114" s="134"/>
      <c r="D114" s="134"/>
      <c r="AQ114" s="92"/>
      <c r="AR114" s="92"/>
      <c r="AS114" s="92"/>
      <c r="AT114" s="92"/>
      <c r="AU114" s="92"/>
      <c r="AV114" s="92"/>
      <c r="AW114" s="92"/>
      <c r="AX114" s="92"/>
      <c r="AY114" s="92"/>
      <c r="AZ114" s="92"/>
      <c r="BA114" s="92"/>
      <c r="BB114" s="92"/>
    </row>
    <row r="115" spans="1:54" s="26" customFormat="1">
      <c r="A115" s="132"/>
      <c r="B115" s="133"/>
      <c r="C115" s="134"/>
      <c r="D115" s="134"/>
      <c r="AQ115" s="92"/>
      <c r="AR115" s="92"/>
      <c r="AS115" s="92"/>
      <c r="AT115" s="92"/>
      <c r="AU115" s="92"/>
      <c r="AV115" s="92"/>
      <c r="AW115" s="92"/>
      <c r="AX115" s="92"/>
      <c r="AY115" s="92"/>
      <c r="AZ115" s="92"/>
      <c r="BA115" s="92"/>
      <c r="BB115" s="92"/>
    </row>
    <row r="116" spans="1:54" s="26" customFormat="1">
      <c r="A116" s="132"/>
      <c r="B116" s="133"/>
      <c r="C116" s="134"/>
      <c r="D116" s="134"/>
      <c r="AQ116" s="92"/>
      <c r="AR116" s="92"/>
      <c r="AS116" s="92"/>
      <c r="AT116" s="92"/>
      <c r="AU116" s="92"/>
      <c r="AV116" s="92"/>
      <c r="AW116" s="92"/>
      <c r="AX116" s="92"/>
      <c r="AY116" s="92"/>
      <c r="AZ116" s="92"/>
      <c r="BA116" s="92"/>
      <c r="BB116" s="92"/>
    </row>
    <row r="117" spans="1:54" s="26" customFormat="1">
      <c r="A117" s="132"/>
      <c r="B117" s="133"/>
      <c r="C117" s="134"/>
      <c r="D117" s="134"/>
      <c r="AQ117" s="92"/>
      <c r="AR117" s="92"/>
      <c r="AS117" s="92"/>
      <c r="AT117" s="92"/>
      <c r="AU117" s="92"/>
      <c r="AV117" s="92"/>
      <c r="AW117" s="92"/>
      <c r="AX117" s="92"/>
      <c r="AY117" s="92"/>
      <c r="AZ117" s="92"/>
      <c r="BA117" s="92"/>
      <c r="BB117" s="92"/>
    </row>
    <row r="118" spans="1:54" s="26" customFormat="1">
      <c r="A118" s="132"/>
      <c r="B118" s="133"/>
      <c r="C118" s="134"/>
      <c r="D118" s="134"/>
      <c r="AQ118" s="92"/>
      <c r="AR118" s="92"/>
      <c r="AS118" s="92"/>
      <c r="AT118" s="92"/>
      <c r="AU118" s="92"/>
      <c r="AV118" s="92"/>
      <c r="AW118" s="92"/>
      <c r="AX118" s="92"/>
      <c r="AY118" s="92"/>
      <c r="AZ118" s="92"/>
      <c r="BA118" s="92"/>
      <c r="BB118" s="92"/>
    </row>
    <row r="119" spans="1:54" s="26" customFormat="1">
      <c r="A119" s="132"/>
      <c r="B119" s="133"/>
      <c r="C119" s="134"/>
      <c r="D119" s="134"/>
      <c r="AQ119" s="92"/>
      <c r="AR119" s="92"/>
      <c r="AS119" s="92"/>
      <c r="AT119" s="92"/>
      <c r="AU119" s="92"/>
      <c r="AV119" s="92"/>
      <c r="AW119" s="92"/>
      <c r="AX119" s="92"/>
      <c r="AY119" s="92"/>
      <c r="AZ119" s="92"/>
      <c r="BA119" s="92"/>
      <c r="BB119" s="92"/>
    </row>
    <row r="120" spans="1:54" s="26" customFormat="1">
      <c r="A120" s="132"/>
      <c r="B120" s="133"/>
      <c r="C120" s="134"/>
      <c r="D120" s="134"/>
      <c r="AQ120" s="92"/>
      <c r="AR120" s="92"/>
      <c r="AS120" s="92"/>
      <c r="AT120" s="92"/>
      <c r="AU120" s="92"/>
      <c r="AV120" s="92"/>
      <c r="AW120" s="92"/>
      <c r="AX120" s="92"/>
      <c r="AY120" s="92"/>
      <c r="AZ120" s="92"/>
      <c r="BA120" s="92"/>
      <c r="BB120" s="92"/>
    </row>
    <row r="121" spans="1:54" s="26" customFormat="1">
      <c r="A121" s="132"/>
      <c r="B121" s="133"/>
      <c r="C121" s="134"/>
      <c r="D121" s="134"/>
      <c r="AQ121" s="92"/>
      <c r="AR121" s="92"/>
      <c r="AS121" s="92"/>
      <c r="AT121" s="92"/>
      <c r="AU121" s="92"/>
      <c r="AV121" s="92"/>
      <c r="AW121" s="92"/>
      <c r="AX121" s="92"/>
      <c r="AY121" s="92"/>
      <c r="AZ121" s="92"/>
      <c r="BA121" s="92"/>
      <c r="BB121" s="92"/>
    </row>
    <row r="122" spans="1:54" s="26" customFormat="1">
      <c r="A122" s="132"/>
      <c r="B122" s="133"/>
      <c r="C122" s="134"/>
      <c r="D122" s="134"/>
      <c r="AQ122" s="92"/>
      <c r="AR122" s="92"/>
      <c r="AS122" s="92"/>
      <c r="AT122" s="92"/>
      <c r="AU122" s="92"/>
      <c r="AV122" s="92"/>
      <c r="AW122" s="92"/>
      <c r="AX122" s="92"/>
      <c r="AY122" s="92"/>
      <c r="AZ122" s="92"/>
      <c r="BA122" s="92"/>
      <c r="BB122" s="92"/>
    </row>
    <row r="123" spans="1:54" s="26" customFormat="1">
      <c r="A123" s="132"/>
      <c r="B123" s="133"/>
      <c r="C123" s="134"/>
      <c r="D123" s="134"/>
      <c r="AQ123" s="92"/>
      <c r="AR123" s="92"/>
      <c r="AS123" s="92"/>
      <c r="AT123" s="92"/>
      <c r="AU123" s="92"/>
      <c r="AV123" s="92"/>
      <c r="AW123" s="92"/>
      <c r="AX123" s="92"/>
      <c r="AY123" s="92"/>
      <c r="AZ123" s="92"/>
      <c r="BA123" s="92"/>
      <c r="BB123" s="92"/>
    </row>
    <row r="124" spans="1:54" s="26" customFormat="1">
      <c r="A124" s="132"/>
      <c r="B124" s="133"/>
      <c r="C124" s="134"/>
      <c r="D124" s="134"/>
      <c r="AQ124" s="92"/>
      <c r="AR124" s="92"/>
      <c r="AS124" s="92"/>
      <c r="AT124" s="92"/>
      <c r="AU124" s="92"/>
      <c r="AV124" s="92"/>
      <c r="AW124" s="92"/>
      <c r="AX124" s="92"/>
      <c r="AY124" s="92"/>
      <c r="AZ124" s="92"/>
      <c r="BA124" s="92"/>
      <c r="BB124" s="92"/>
    </row>
    <row r="125" spans="1:54" s="26" customFormat="1">
      <c r="A125" s="132"/>
      <c r="B125" s="133"/>
      <c r="C125" s="134"/>
      <c r="D125" s="134"/>
      <c r="AQ125" s="92"/>
      <c r="AR125" s="92"/>
      <c r="AS125" s="92"/>
      <c r="AT125" s="92"/>
      <c r="AU125" s="92"/>
      <c r="AV125" s="92"/>
      <c r="AW125" s="92"/>
      <c r="AX125" s="92"/>
      <c r="AY125" s="92"/>
      <c r="AZ125" s="92"/>
      <c r="BA125" s="92"/>
      <c r="BB125" s="92"/>
    </row>
    <row r="126" spans="1:54" s="26" customFormat="1">
      <c r="A126" s="132"/>
      <c r="B126" s="133"/>
      <c r="C126" s="134"/>
      <c r="D126" s="134"/>
      <c r="AQ126" s="92"/>
      <c r="AR126" s="92"/>
      <c r="AS126" s="92"/>
      <c r="AT126" s="92"/>
      <c r="AU126" s="92"/>
      <c r="AV126" s="92"/>
      <c r="AW126" s="92"/>
      <c r="AX126" s="92"/>
      <c r="AY126" s="92"/>
      <c r="AZ126" s="92"/>
      <c r="BA126" s="92"/>
      <c r="BB126" s="92"/>
    </row>
    <row r="127" spans="1:54" s="26" customFormat="1">
      <c r="A127" s="132"/>
      <c r="B127" s="133"/>
      <c r="C127" s="134"/>
      <c r="D127" s="134"/>
      <c r="AQ127" s="92"/>
      <c r="AR127" s="92"/>
      <c r="AS127" s="92"/>
      <c r="AT127" s="92"/>
      <c r="AU127" s="92"/>
      <c r="AV127" s="92"/>
      <c r="AW127" s="92"/>
      <c r="AX127" s="92"/>
      <c r="AY127" s="92"/>
      <c r="AZ127" s="92"/>
      <c r="BA127" s="92"/>
      <c r="BB127" s="92"/>
    </row>
    <row r="128" spans="1:54" s="26" customFormat="1">
      <c r="A128" s="132"/>
      <c r="B128" s="133"/>
      <c r="C128" s="134"/>
      <c r="D128" s="134"/>
      <c r="AQ128" s="92"/>
      <c r="AR128" s="92"/>
      <c r="AS128" s="92"/>
      <c r="AT128" s="92"/>
      <c r="AU128" s="92"/>
      <c r="AV128" s="92"/>
      <c r="AW128" s="92"/>
      <c r="AX128" s="92"/>
      <c r="AY128" s="92"/>
      <c r="AZ128" s="92"/>
      <c r="BA128" s="92"/>
      <c r="BB128" s="92"/>
    </row>
    <row r="129" spans="1:54" s="26" customFormat="1">
      <c r="A129" s="132"/>
      <c r="B129" s="133"/>
      <c r="C129" s="134"/>
      <c r="D129" s="134"/>
      <c r="AQ129" s="92"/>
      <c r="AR129" s="92"/>
      <c r="AS129" s="92"/>
      <c r="AT129" s="92"/>
      <c r="AU129" s="92"/>
      <c r="AV129" s="92"/>
      <c r="AW129" s="92"/>
      <c r="AX129" s="92"/>
      <c r="AY129" s="92"/>
      <c r="AZ129" s="92"/>
      <c r="BA129" s="92"/>
      <c r="BB129" s="92"/>
    </row>
    <row r="130" spans="1:54" s="26" customFormat="1">
      <c r="A130" s="132"/>
      <c r="B130" s="133"/>
      <c r="C130" s="134"/>
      <c r="D130" s="134"/>
      <c r="AQ130" s="92"/>
      <c r="AR130" s="92"/>
      <c r="AS130" s="92"/>
      <c r="AT130" s="92"/>
      <c r="AU130" s="92"/>
      <c r="AV130" s="92"/>
      <c r="AW130" s="92"/>
      <c r="AX130" s="92"/>
      <c r="AY130" s="92"/>
      <c r="AZ130" s="92"/>
      <c r="BA130" s="92"/>
      <c r="BB130" s="92"/>
    </row>
    <row r="131" spans="1:54" s="26" customFormat="1">
      <c r="A131" s="132"/>
      <c r="B131" s="133"/>
      <c r="C131" s="134"/>
      <c r="D131" s="134"/>
      <c r="AQ131" s="92"/>
      <c r="AR131" s="92"/>
      <c r="AS131" s="92"/>
      <c r="AT131" s="92"/>
      <c r="AU131" s="92"/>
      <c r="AV131" s="92"/>
      <c r="AW131" s="92"/>
      <c r="AX131" s="92"/>
      <c r="AY131" s="92"/>
      <c r="AZ131" s="92"/>
      <c r="BA131" s="92"/>
      <c r="BB131" s="92"/>
    </row>
    <row r="132" spans="1:54" s="26" customFormat="1">
      <c r="A132" s="132"/>
      <c r="B132" s="133"/>
      <c r="C132" s="134"/>
      <c r="D132" s="134"/>
      <c r="AQ132" s="92"/>
      <c r="AR132" s="92"/>
      <c r="AS132" s="92"/>
      <c r="AT132" s="92"/>
      <c r="AU132" s="92"/>
      <c r="AV132" s="92"/>
      <c r="AW132" s="92"/>
      <c r="AX132" s="92"/>
      <c r="AY132" s="92"/>
      <c r="AZ132" s="92"/>
      <c r="BA132" s="92"/>
      <c r="BB132" s="92"/>
    </row>
    <row r="133" spans="1:54" s="26" customFormat="1">
      <c r="A133" s="132"/>
      <c r="B133" s="133"/>
      <c r="C133" s="134"/>
      <c r="D133" s="134"/>
      <c r="AQ133" s="92"/>
      <c r="AR133" s="92"/>
      <c r="AS133" s="92"/>
      <c r="AT133" s="92"/>
      <c r="AU133" s="92"/>
      <c r="AV133" s="92"/>
      <c r="AW133" s="92"/>
      <c r="AX133" s="92"/>
      <c r="AY133" s="92"/>
      <c r="AZ133" s="92"/>
      <c r="BA133" s="92"/>
      <c r="BB133" s="92"/>
    </row>
    <row r="134" spans="1:54" s="26" customFormat="1">
      <c r="A134" s="132"/>
      <c r="B134" s="133"/>
      <c r="C134" s="134"/>
      <c r="D134" s="134"/>
      <c r="AQ134" s="92"/>
      <c r="AR134" s="92"/>
      <c r="AS134" s="92"/>
      <c r="AT134" s="92"/>
      <c r="AU134" s="92"/>
      <c r="AV134" s="92"/>
      <c r="AW134" s="92"/>
      <c r="AX134" s="92"/>
      <c r="AY134" s="92"/>
      <c r="AZ134" s="92"/>
      <c r="BA134" s="92"/>
      <c r="BB134" s="92"/>
    </row>
    <row r="135" spans="1:54" s="26" customFormat="1">
      <c r="A135" s="132"/>
      <c r="B135" s="133"/>
      <c r="C135" s="134"/>
      <c r="D135" s="134"/>
      <c r="AQ135" s="92"/>
      <c r="AR135" s="92"/>
      <c r="AS135" s="92"/>
      <c r="AT135" s="92"/>
      <c r="AU135" s="92"/>
      <c r="AV135" s="92"/>
      <c r="AW135" s="92"/>
      <c r="AX135" s="92"/>
      <c r="AY135" s="92"/>
      <c r="AZ135" s="92"/>
      <c r="BA135" s="92"/>
      <c r="BB135" s="92"/>
    </row>
    <row r="136" spans="1:54" s="26" customFormat="1">
      <c r="A136" s="132"/>
      <c r="B136" s="133"/>
      <c r="C136" s="134"/>
      <c r="D136" s="134"/>
      <c r="AQ136" s="92"/>
      <c r="AR136" s="92"/>
      <c r="AS136" s="92"/>
      <c r="AT136" s="92"/>
      <c r="AU136" s="92"/>
      <c r="AV136" s="92"/>
      <c r="AW136" s="92"/>
      <c r="AX136" s="92"/>
      <c r="AY136" s="92"/>
      <c r="AZ136" s="92"/>
      <c r="BA136" s="92"/>
      <c r="BB136" s="92"/>
    </row>
    <row r="137" spans="1:54" s="26" customFormat="1">
      <c r="A137" s="132"/>
      <c r="B137" s="133"/>
      <c r="C137" s="134"/>
      <c r="D137" s="134"/>
      <c r="AQ137" s="92"/>
      <c r="AR137" s="92"/>
      <c r="AS137" s="92"/>
      <c r="AT137" s="92"/>
      <c r="AU137" s="92"/>
      <c r="AV137" s="92"/>
      <c r="AW137" s="92"/>
      <c r="AX137" s="92"/>
      <c r="AY137" s="92"/>
      <c r="AZ137" s="92"/>
      <c r="BA137" s="92"/>
      <c r="BB137" s="92"/>
    </row>
    <row r="138" spans="1:54" s="26" customFormat="1">
      <c r="A138" s="132"/>
      <c r="B138" s="133"/>
      <c r="C138" s="134"/>
      <c r="D138" s="134"/>
      <c r="AQ138" s="92"/>
      <c r="AR138" s="92"/>
      <c r="AS138" s="92"/>
      <c r="AT138" s="92"/>
      <c r="AU138" s="92"/>
      <c r="AV138" s="92"/>
      <c r="AW138" s="92"/>
      <c r="AX138" s="92"/>
      <c r="AY138" s="92"/>
      <c r="AZ138" s="92"/>
      <c r="BA138" s="92"/>
      <c r="BB138" s="92"/>
    </row>
    <row r="139" spans="1:54" s="26" customFormat="1">
      <c r="A139" s="132"/>
      <c r="B139" s="133"/>
      <c r="C139" s="134"/>
      <c r="D139" s="134"/>
      <c r="AQ139" s="92"/>
      <c r="AR139" s="92"/>
      <c r="AS139" s="92"/>
      <c r="AT139" s="92"/>
      <c r="AU139" s="92"/>
      <c r="AV139" s="92"/>
      <c r="AW139" s="92"/>
      <c r="AX139" s="92"/>
      <c r="AY139" s="92"/>
      <c r="AZ139" s="92"/>
      <c r="BA139" s="92"/>
      <c r="BB139" s="92"/>
    </row>
    <row r="140" spans="1:54" s="26" customFormat="1">
      <c r="A140" s="132"/>
      <c r="B140" s="133"/>
      <c r="C140" s="134"/>
      <c r="D140" s="134"/>
      <c r="AQ140" s="92"/>
      <c r="AR140" s="92"/>
      <c r="AS140" s="92"/>
      <c r="AT140" s="92"/>
      <c r="AU140" s="92"/>
      <c r="AV140" s="92"/>
      <c r="AW140" s="92"/>
      <c r="AX140" s="92"/>
      <c r="AY140" s="92"/>
      <c r="AZ140" s="92"/>
      <c r="BA140" s="92"/>
      <c r="BB140" s="92"/>
    </row>
    <row r="141" spans="1:54" s="26" customFormat="1">
      <c r="A141" s="132"/>
      <c r="B141" s="133"/>
      <c r="C141" s="134"/>
      <c r="D141" s="134"/>
      <c r="AQ141" s="92"/>
      <c r="AR141" s="92"/>
      <c r="AS141" s="92"/>
      <c r="AT141" s="92"/>
      <c r="AU141" s="92"/>
      <c r="AV141" s="92"/>
      <c r="AW141" s="92"/>
      <c r="AX141" s="92"/>
      <c r="AY141" s="92"/>
      <c r="AZ141" s="92"/>
      <c r="BA141" s="92"/>
      <c r="BB141" s="92"/>
    </row>
    <row r="142" spans="1:54" s="26" customFormat="1">
      <c r="A142" s="132"/>
      <c r="B142" s="133"/>
      <c r="C142" s="134"/>
      <c r="D142" s="134"/>
      <c r="AQ142" s="92"/>
      <c r="AR142" s="92"/>
      <c r="AS142" s="92"/>
      <c r="AT142" s="92"/>
      <c r="AU142" s="92"/>
      <c r="AV142" s="92"/>
      <c r="AW142" s="92"/>
      <c r="AX142" s="92"/>
      <c r="AY142" s="92"/>
      <c r="AZ142" s="92"/>
      <c r="BA142" s="92"/>
      <c r="BB142" s="92"/>
    </row>
    <row r="143" spans="1:54" s="26" customFormat="1">
      <c r="A143" s="132"/>
      <c r="B143" s="133"/>
      <c r="C143" s="134"/>
      <c r="D143" s="134"/>
      <c r="AQ143" s="92"/>
      <c r="AR143" s="92"/>
      <c r="AS143" s="92"/>
      <c r="AT143" s="92"/>
      <c r="AU143" s="92"/>
      <c r="AV143" s="92"/>
      <c r="AW143" s="92"/>
      <c r="AX143" s="92"/>
      <c r="AY143" s="92"/>
      <c r="AZ143" s="92"/>
      <c r="BA143" s="92"/>
      <c r="BB143" s="92"/>
    </row>
    <row r="144" spans="1:54" s="26" customFormat="1">
      <c r="A144" s="132"/>
      <c r="B144" s="133"/>
      <c r="C144" s="134"/>
      <c r="D144" s="134"/>
      <c r="AQ144" s="92"/>
      <c r="AR144" s="92"/>
      <c r="AS144" s="92"/>
      <c r="AT144" s="92"/>
      <c r="AU144" s="92"/>
      <c r="AV144" s="92"/>
      <c r="AW144" s="92"/>
      <c r="AX144" s="92"/>
      <c r="AY144" s="92"/>
      <c r="AZ144" s="92"/>
      <c r="BA144" s="92"/>
      <c r="BB144" s="92"/>
    </row>
    <row r="145" spans="1:54" s="26" customFormat="1">
      <c r="A145" s="132"/>
      <c r="B145" s="133"/>
      <c r="C145" s="134"/>
      <c r="D145" s="134"/>
      <c r="AQ145" s="92"/>
      <c r="AR145" s="92"/>
      <c r="AS145" s="92"/>
      <c r="AT145" s="92"/>
      <c r="AU145" s="92"/>
      <c r="AV145" s="92"/>
      <c r="AW145" s="92"/>
      <c r="AX145" s="92"/>
      <c r="AY145" s="92"/>
      <c r="AZ145" s="92"/>
      <c r="BA145" s="92"/>
      <c r="BB145" s="92"/>
    </row>
    <row r="146" spans="1:54" s="26" customFormat="1">
      <c r="A146" s="132"/>
      <c r="B146" s="133"/>
      <c r="C146" s="134"/>
      <c r="D146" s="134"/>
      <c r="AQ146" s="92"/>
      <c r="AR146" s="92"/>
      <c r="AS146" s="92"/>
      <c r="AT146" s="92"/>
      <c r="AU146" s="92"/>
      <c r="AV146" s="92"/>
      <c r="AW146" s="92"/>
      <c r="AX146" s="92"/>
      <c r="AY146" s="92"/>
      <c r="AZ146" s="92"/>
      <c r="BA146" s="92"/>
      <c r="BB146" s="92"/>
    </row>
    <row r="147" spans="1:54" s="26" customFormat="1">
      <c r="A147" s="132"/>
      <c r="B147" s="133"/>
      <c r="C147" s="134"/>
      <c r="D147" s="134"/>
      <c r="AQ147" s="92"/>
      <c r="AR147" s="92"/>
      <c r="AS147" s="92"/>
      <c r="AT147" s="92"/>
      <c r="AU147" s="92"/>
      <c r="AV147" s="92"/>
      <c r="AW147" s="92"/>
      <c r="AX147" s="92"/>
      <c r="AY147" s="92"/>
      <c r="AZ147" s="92"/>
      <c r="BA147" s="92"/>
      <c r="BB147" s="92"/>
    </row>
    <row r="148" spans="1:54" s="26" customFormat="1">
      <c r="A148" s="132"/>
      <c r="B148" s="133"/>
      <c r="C148" s="134"/>
      <c r="D148" s="134"/>
      <c r="AQ148" s="92"/>
      <c r="AR148" s="92"/>
      <c r="AS148" s="92"/>
      <c r="AT148" s="92"/>
      <c r="AU148" s="92"/>
      <c r="AV148" s="92"/>
      <c r="AW148" s="92"/>
      <c r="AX148" s="92"/>
      <c r="AY148" s="92"/>
      <c r="AZ148" s="92"/>
      <c r="BA148" s="92"/>
      <c r="BB148" s="92"/>
    </row>
    <row r="149" spans="1:54" s="26" customFormat="1">
      <c r="A149" s="132"/>
      <c r="B149" s="133"/>
      <c r="C149" s="134"/>
      <c r="D149" s="134"/>
      <c r="AQ149" s="92"/>
      <c r="AR149" s="92"/>
      <c r="AS149" s="92"/>
      <c r="AT149" s="92"/>
      <c r="AU149" s="92"/>
      <c r="AV149" s="92"/>
      <c r="AW149" s="92"/>
      <c r="AX149" s="92"/>
      <c r="AY149" s="92"/>
      <c r="AZ149" s="92"/>
      <c r="BA149" s="92"/>
      <c r="BB149" s="92"/>
    </row>
    <row r="150" spans="1:54" s="26" customFormat="1">
      <c r="A150" s="132"/>
      <c r="B150" s="133"/>
      <c r="C150" s="134"/>
      <c r="D150" s="134"/>
      <c r="AQ150" s="92"/>
      <c r="AR150" s="92"/>
      <c r="AS150" s="92"/>
      <c r="AT150" s="92"/>
      <c r="AU150" s="92"/>
      <c r="AV150" s="92"/>
      <c r="AW150" s="92"/>
      <c r="AX150" s="92"/>
      <c r="AY150" s="92"/>
      <c r="AZ150" s="92"/>
      <c r="BA150" s="92"/>
      <c r="BB150" s="92"/>
    </row>
    <row r="151" spans="1:54" s="26" customFormat="1">
      <c r="A151" s="132"/>
      <c r="B151" s="133"/>
      <c r="C151" s="134"/>
      <c r="D151" s="134"/>
      <c r="AQ151" s="92"/>
      <c r="AR151" s="92"/>
      <c r="AS151" s="92"/>
      <c r="AT151" s="92"/>
      <c r="AU151" s="92"/>
      <c r="AV151" s="92"/>
      <c r="AW151" s="92"/>
      <c r="AX151" s="92"/>
      <c r="AY151" s="92"/>
      <c r="AZ151" s="92"/>
      <c r="BA151" s="92"/>
      <c r="BB151" s="92"/>
    </row>
    <row r="152" spans="1:54" s="26" customFormat="1">
      <c r="A152" s="132"/>
      <c r="B152" s="133"/>
      <c r="C152" s="134"/>
      <c r="D152" s="134"/>
      <c r="AQ152" s="92"/>
      <c r="AR152" s="92"/>
      <c r="AS152" s="92"/>
      <c r="AT152" s="92"/>
      <c r="AU152" s="92"/>
      <c r="AV152" s="92"/>
      <c r="AW152" s="92"/>
      <c r="AX152" s="92"/>
      <c r="AY152" s="92"/>
      <c r="AZ152" s="92"/>
      <c r="BA152" s="92"/>
      <c r="BB152" s="92"/>
    </row>
    <row r="153" spans="1:54" s="26" customFormat="1">
      <c r="A153" s="132"/>
      <c r="B153" s="133"/>
      <c r="C153" s="134"/>
      <c r="D153" s="134"/>
      <c r="AQ153" s="92"/>
      <c r="AR153" s="92"/>
      <c r="AS153" s="92"/>
      <c r="AT153" s="92"/>
      <c r="AU153" s="92"/>
      <c r="AV153" s="92"/>
      <c r="AW153" s="92"/>
      <c r="AX153" s="92"/>
      <c r="AY153" s="92"/>
      <c r="AZ153" s="92"/>
      <c r="BA153" s="92"/>
      <c r="BB153" s="92"/>
    </row>
    <row r="154" spans="1:54" s="26" customFormat="1">
      <c r="A154" s="132"/>
      <c r="B154" s="133"/>
      <c r="C154" s="134"/>
      <c r="D154" s="134"/>
      <c r="AQ154" s="92"/>
      <c r="AR154" s="92"/>
      <c r="AS154" s="92"/>
      <c r="AT154" s="92"/>
      <c r="AU154" s="92"/>
      <c r="AV154" s="92"/>
      <c r="AW154" s="92"/>
      <c r="AX154" s="92"/>
      <c r="AY154" s="92"/>
      <c r="AZ154" s="92"/>
      <c r="BA154" s="92"/>
      <c r="BB154" s="92"/>
    </row>
    <row r="155" spans="1:54" s="26" customFormat="1">
      <c r="A155" s="132"/>
      <c r="B155" s="133"/>
      <c r="C155" s="134"/>
      <c r="D155" s="134"/>
      <c r="AQ155" s="92"/>
      <c r="AR155" s="92"/>
      <c r="AS155" s="92"/>
      <c r="AT155" s="92"/>
      <c r="AU155" s="92"/>
      <c r="AV155" s="92"/>
      <c r="AW155" s="92"/>
      <c r="AX155" s="92"/>
      <c r="AY155" s="92"/>
      <c r="AZ155" s="92"/>
      <c r="BA155" s="92"/>
      <c r="BB155" s="92"/>
    </row>
    <row r="156" spans="1:54" s="26" customFormat="1">
      <c r="A156" s="132"/>
      <c r="B156" s="133"/>
      <c r="C156" s="134"/>
      <c r="D156" s="134"/>
      <c r="AQ156" s="92"/>
      <c r="AR156" s="92"/>
      <c r="AS156" s="92"/>
      <c r="AT156" s="92"/>
      <c r="AU156" s="92"/>
      <c r="AV156" s="92"/>
      <c r="AW156" s="92"/>
      <c r="AX156" s="92"/>
      <c r="AY156" s="92"/>
      <c r="AZ156" s="92"/>
      <c r="BA156" s="92"/>
      <c r="BB156" s="92"/>
    </row>
    <row r="157" spans="1:54" s="26" customFormat="1">
      <c r="A157" s="132"/>
      <c r="B157" s="133"/>
      <c r="C157" s="134"/>
      <c r="D157" s="134"/>
      <c r="AQ157" s="92"/>
      <c r="AR157" s="92"/>
      <c r="AS157" s="92"/>
      <c r="AT157" s="92"/>
      <c r="AU157" s="92"/>
      <c r="AV157" s="92"/>
      <c r="AW157" s="92"/>
      <c r="AX157" s="92"/>
      <c r="AY157" s="92"/>
      <c r="AZ157" s="92"/>
      <c r="BA157" s="92"/>
      <c r="BB157" s="92"/>
    </row>
    <row r="158" spans="1:54" s="26" customFormat="1">
      <c r="A158" s="132"/>
      <c r="B158" s="133"/>
      <c r="C158" s="134"/>
      <c r="D158" s="134"/>
      <c r="AQ158" s="92"/>
      <c r="AR158" s="92"/>
      <c r="AS158" s="92"/>
      <c r="AT158" s="92"/>
      <c r="AU158" s="92"/>
      <c r="AV158" s="92"/>
      <c r="AW158" s="92"/>
      <c r="AX158" s="92"/>
      <c r="AY158" s="92"/>
      <c r="AZ158" s="92"/>
      <c r="BA158" s="92"/>
      <c r="BB158" s="92"/>
    </row>
    <row r="159" spans="1:54" s="26" customFormat="1">
      <c r="A159" s="132"/>
      <c r="B159" s="133"/>
      <c r="C159" s="134"/>
      <c r="D159" s="134"/>
      <c r="AQ159" s="92"/>
      <c r="AR159" s="92"/>
      <c r="AS159" s="92"/>
      <c r="AT159" s="92"/>
      <c r="AU159" s="92"/>
      <c r="AV159" s="92"/>
      <c r="AW159" s="92"/>
      <c r="AX159" s="92"/>
      <c r="AY159" s="92"/>
      <c r="AZ159" s="92"/>
      <c r="BA159" s="92"/>
      <c r="BB159" s="92"/>
    </row>
    <row r="160" spans="1:54" s="26" customFormat="1">
      <c r="A160" s="132"/>
      <c r="B160" s="133"/>
      <c r="C160" s="134"/>
      <c r="D160" s="134"/>
      <c r="AQ160" s="92"/>
      <c r="AR160" s="92"/>
      <c r="AS160" s="92"/>
      <c r="AT160" s="92"/>
      <c r="AU160" s="92"/>
      <c r="AV160" s="92"/>
      <c r="AW160" s="92"/>
      <c r="AX160" s="92"/>
      <c r="AY160" s="92"/>
      <c r="AZ160" s="92"/>
      <c r="BA160" s="92"/>
      <c r="BB160" s="92"/>
    </row>
    <row r="161" spans="1:54" s="26" customFormat="1">
      <c r="A161" s="132"/>
      <c r="B161" s="133"/>
      <c r="C161" s="134"/>
      <c r="D161" s="134"/>
      <c r="AQ161" s="92"/>
      <c r="AR161" s="92"/>
      <c r="AS161" s="92"/>
      <c r="AT161" s="92"/>
      <c r="AU161" s="92"/>
      <c r="AV161" s="92"/>
      <c r="AW161" s="92"/>
      <c r="AX161" s="92"/>
      <c r="AY161" s="92"/>
      <c r="AZ161" s="92"/>
      <c r="BA161" s="92"/>
      <c r="BB161" s="92"/>
    </row>
    <row r="162" spans="1:54" s="26" customFormat="1">
      <c r="A162" s="132"/>
      <c r="B162" s="133"/>
      <c r="C162" s="134"/>
      <c r="D162" s="134"/>
      <c r="AQ162" s="92"/>
      <c r="AR162" s="92"/>
      <c r="AS162" s="92"/>
      <c r="AT162" s="92"/>
      <c r="AU162" s="92"/>
      <c r="AV162" s="92"/>
      <c r="AW162" s="92"/>
      <c r="AX162" s="92"/>
      <c r="AY162" s="92"/>
      <c r="AZ162" s="92"/>
      <c r="BA162" s="92"/>
      <c r="BB162" s="92"/>
    </row>
    <row r="163" spans="1:54" s="26" customFormat="1">
      <c r="A163" s="132"/>
      <c r="B163" s="133"/>
      <c r="C163" s="134"/>
      <c r="D163" s="134"/>
      <c r="AQ163" s="92"/>
      <c r="AR163" s="92"/>
      <c r="AS163" s="92"/>
      <c r="AT163" s="92"/>
      <c r="AU163" s="92"/>
      <c r="AV163" s="92"/>
      <c r="AW163" s="92"/>
      <c r="AX163" s="92"/>
      <c r="AY163" s="92"/>
      <c r="AZ163" s="92"/>
      <c r="BA163" s="92"/>
      <c r="BB163" s="92"/>
    </row>
    <row r="164" spans="1:54" s="26" customFormat="1">
      <c r="A164" s="132"/>
      <c r="B164" s="133"/>
      <c r="C164" s="134"/>
      <c r="D164" s="134"/>
      <c r="AQ164" s="92"/>
      <c r="AR164" s="92"/>
      <c r="AS164" s="92"/>
      <c r="AT164" s="92"/>
      <c r="AU164" s="92"/>
      <c r="AV164" s="92"/>
      <c r="AW164" s="92"/>
      <c r="AX164" s="92"/>
      <c r="AY164" s="92"/>
      <c r="AZ164" s="92"/>
      <c r="BA164" s="92"/>
      <c r="BB164" s="92"/>
    </row>
    <row r="165" spans="1:54" s="26" customFormat="1">
      <c r="A165" s="132"/>
      <c r="B165" s="133"/>
      <c r="C165" s="134"/>
      <c r="D165" s="134"/>
      <c r="AQ165" s="92"/>
      <c r="AR165" s="92"/>
      <c r="AS165" s="92"/>
      <c r="AT165" s="92"/>
      <c r="AU165" s="92"/>
      <c r="AV165" s="92"/>
      <c r="AW165" s="92"/>
      <c r="AX165" s="92"/>
      <c r="AY165" s="92"/>
      <c r="AZ165" s="92"/>
      <c r="BA165" s="92"/>
      <c r="BB165" s="92"/>
    </row>
    <row r="166" spans="1:54" s="26" customFormat="1">
      <c r="A166" s="132"/>
      <c r="B166" s="133"/>
      <c r="C166" s="134"/>
      <c r="D166" s="134"/>
      <c r="AQ166" s="92"/>
      <c r="AR166" s="92"/>
      <c r="AS166" s="92"/>
      <c r="AT166" s="92"/>
      <c r="AU166" s="92"/>
      <c r="AV166" s="92"/>
      <c r="AW166" s="92"/>
      <c r="AX166" s="92"/>
      <c r="AY166" s="92"/>
      <c r="AZ166" s="92"/>
      <c r="BA166" s="92"/>
      <c r="BB166" s="92"/>
    </row>
    <row r="167" spans="1:54" s="26" customFormat="1">
      <c r="A167" s="132"/>
      <c r="B167" s="133"/>
      <c r="C167" s="134"/>
      <c r="D167" s="134"/>
      <c r="AQ167" s="92"/>
      <c r="AR167" s="92"/>
      <c r="AS167" s="92"/>
      <c r="AT167" s="92"/>
      <c r="AU167" s="92"/>
      <c r="AV167" s="92"/>
      <c r="AW167" s="92"/>
      <c r="AX167" s="92"/>
      <c r="AY167" s="92"/>
      <c r="AZ167" s="92"/>
      <c r="BA167" s="92"/>
      <c r="BB167" s="92"/>
    </row>
    <row r="168" spans="1:54" s="26" customFormat="1">
      <c r="A168" s="132"/>
      <c r="B168" s="133"/>
      <c r="C168" s="134"/>
      <c r="D168" s="134"/>
      <c r="AQ168" s="92"/>
      <c r="AR168" s="92"/>
      <c r="AS168" s="92"/>
      <c r="AT168" s="92"/>
      <c r="AU168" s="92"/>
      <c r="AV168" s="92"/>
      <c r="AW168" s="92"/>
      <c r="AX168" s="92"/>
      <c r="AY168" s="92"/>
      <c r="AZ168" s="92"/>
      <c r="BA168" s="92"/>
      <c r="BB168" s="92"/>
    </row>
    <row r="169" spans="1:54" s="26" customFormat="1">
      <c r="A169" s="132"/>
      <c r="B169" s="133"/>
      <c r="C169" s="134"/>
      <c r="D169" s="134"/>
      <c r="AQ169" s="92"/>
      <c r="AR169" s="92"/>
      <c r="AS169" s="92"/>
      <c r="AT169" s="92"/>
      <c r="AU169" s="92"/>
      <c r="AV169" s="92"/>
      <c r="AW169" s="92"/>
      <c r="AX169" s="92"/>
      <c r="AY169" s="92"/>
      <c r="AZ169" s="92"/>
      <c r="BA169" s="92"/>
      <c r="BB169" s="92"/>
    </row>
    <row r="170" spans="1:54" s="26" customFormat="1">
      <c r="A170" s="132"/>
      <c r="B170" s="133"/>
      <c r="C170" s="134"/>
      <c r="D170" s="134"/>
      <c r="AQ170" s="92"/>
      <c r="AR170" s="92"/>
      <c r="AS170" s="92"/>
      <c r="AT170" s="92"/>
      <c r="AU170" s="92"/>
      <c r="AV170" s="92"/>
      <c r="AW170" s="92"/>
      <c r="AX170" s="92"/>
      <c r="AY170" s="92"/>
      <c r="AZ170" s="92"/>
      <c r="BA170" s="92"/>
      <c r="BB170" s="92"/>
    </row>
    <row r="171" spans="1:54" s="26" customFormat="1">
      <c r="A171" s="132"/>
      <c r="B171" s="133"/>
      <c r="C171" s="134"/>
      <c r="D171" s="134"/>
      <c r="AQ171" s="92"/>
      <c r="AR171" s="92"/>
      <c r="AS171" s="92"/>
      <c r="AT171" s="92"/>
      <c r="AU171" s="92"/>
      <c r="AV171" s="92"/>
      <c r="AW171" s="92"/>
      <c r="AX171" s="92"/>
      <c r="AY171" s="92"/>
      <c r="AZ171" s="92"/>
      <c r="BA171" s="92"/>
      <c r="BB171" s="92"/>
    </row>
    <row r="172" spans="1:54" s="26" customFormat="1">
      <c r="A172" s="132"/>
      <c r="B172" s="133"/>
      <c r="C172" s="134"/>
      <c r="D172" s="134"/>
      <c r="AQ172" s="92"/>
      <c r="AR172" s="92"/>
      <c r="AS172" s="92"/>
      <c r="AT172" s="92"/>
      <c r="AU172" s="92"/>
      <c r="AV172" s="92"/>
      <c r="AW172" s="92"/>
      <c r="AX172" s="92"/>
      <c r="AY172" s="92"/>
      <c r="AZ172" s="92"/>
      <c r="BA172" s="92"/>
      <c r="BB172" s="92"/>
    </row>
    <row r="173" spans="1:54" s="26" customFormat="1">
      <c r="A173" s="132"/>
      <c r="B173" s="133"/>
      <c r="C173" s="134"/>
      <c r="D173" s="134"/>
      <c r="AQ173" s="92"/>
      <c r="AR173" s="92"/>
      <c r="AS173" s="92"/>
      <c r="AT173" s="92"/>
      <c r="AU173" s="92"/>
      <c r="AV173" s="92"/>
      <c r="AW173" s="92"/>
      <c r="AX173" s="92"/>
      <c r="AY173" s="92"/>
      <c r="AZ173" s="92"/>
      <c r="BA173" s="92"/>
      <c r="BB173" s="92"/>
    </row>
    <row r="174" spans="1:54" s="26" customFormat="1">
      <c r="A174" s="132"/>
      <c r="B174" s="133"/>
      <c r="C174" s="134"/>
      <c r="D174" s="134"/>
      <c r="AQ174" s="92"/>
      <c r="AR174" s="92"/>
      <c r="AS174" s="92"/>
      <c r="AT174" s="92"/>
      <c r="AU174" s="92"/>
      <c r="AV174" s="92"/>
      <c r="AW174" s="92"/>
      <c r="AX174" s="92"/>
      <c r="AY174" s="92"/>
      <c r="AZ174" s="92"/>
      <c r="BA174" s="92"/>
      <c r="BB174" s="92"/>
    </row>
    <row r="175" spans="1:54" s="26" customFormat="1">
      <c r="A175" s="132"/>
      <c r="B175" s="133"/>
      <c r="C175" s="134"/>
      <c r="D175" s="134"/>
      <c r="AQ175" s="92"/>
      <c r="AR175" s="92"/>
      <c r="AS175" s="92"/>
      <c r="AT175" s="92"/>
      <c r="AU175" s="92"/>
      <c r="AV175" s="92"/>
      <c r="AW175" s="92"/>
      <c r="AX175" s="92"/>
      <c r="AY175" s="92"/>
      <c r="AZ175" s="92"/>
      <c r="BA175" s="92"/>
      <c r="BB175" s="92"/>
    </row>
    <row r="176" spans="1:54" s="26" customFormat="1">
      <c r="A176" s="132"/>
      <c r="B176" s="133"/>
      <c r="C176" s="134"/>
      <c r="D176" s="134"/>
      <c r="AQ176" s="92"/>
      <c r="AR176" s="92"/>
      <c r="AS176" s="92"/>
      <c r="AT176" s="92"/>
      <c r="AU176" s="92"/>
      <c r="AV176" s="92"/>
      <c r="AW176" s="92"/>
      <c r="AX176" s="92"/>
      <c r="AY176" s="92"/>
      <c r="AZ176" s="92"/>
      <c r="BA176" s="92"/>
      <c r="BB176" s="92"/>
    </row>
    <row r="177" spans="1:54" s="26" customFormat="1">
      <c r="A177" s="132"/>
      <c r="B177" s="133"/>
      <c r="C177" s="134"/>
      <c r="D177" s="134"/>
      <c r="AQ177" s="92"/>
      <c r="AR177" s="92"/>
      <c r="AS177" s="92"/>
      <c r="AT177" s="92"/>
      <c r="AU177" s="92"/>
      <c r="AV177" s="92"/>
      <c r="AW177" s="92"/>
      <c r="AX177" s="92"/>
      <c r="AY177" s="92"/>
      <c r="AZ177" s="92"/>
      <c r="BA177" s="92"/>
      <c r="BB177" s="92"/>
    </row>
    <row r="178" spans="1:54" s="26" customFormat="1">
      <c r="A178" s="132"/>
      <c r="B178" s="133"/>
      <c r="C178" s="134"/>
      <c r="D178" s="134"/>
      <c r="AQ178" s="92"/>
      <c r="AR178" s="92"/>
      <c r="AS178" s="92"/>
      <c r="AT178" s="92"/>
      <c r="AU178" s="92"/>
      <c r="AV178" s="92"/>
      <c r="AW178" s="92"/>
      <c r="AX178" s="92"/>
      <c r="AY178" s="92"/>
      <c r="AZ178" s="92"/>
      <c r="BA178" s="92"/>
      <c r="BB178" s="92"/>
    </row>
    <row r="179" spans="1:54" s="26" customFormat="1">
      <c r="A179" s="132"/>
      <c r="B179" s="133"/>
      <c r="C179" s="134"/>
      <c r="D179" s="134"/>
      <c r="AQ179" s="92"/>
      <c r="AR179" s="92"/>
      <c r="AS179" s="92"/>
      <c r="AT179" s="92"/>
      <c r="AU179" s="92"/>
      <c r="AV179" s="92"/>
      <c r="AW179" s="92"/>
      <c r="AX179" s="92"/>
      <c r="AY179" s="92"/>
      <c r="AZ179" s="92"/>
      <c r="BA179" s="92"/>
      <c r="BB179" s="92"/>
    </row>
    <row r="180" spans="1:54" s="26" customFormat="1">
      <c r="A180" s="132"/>
      <c r="B180" s="133"/>
      <c r="C180" s="134"/>
      <c r="D180" s="134"/>
      <c r="AQ180" s="92"/>
      <c r="AR180" s="92"/>
      <c r="AS180" s="92"/>
      <c r="AT180" s="92"/>
      <c r="AU180" s="92"/>
      <c r="AV180" s="92"/>
      <c r="AW180" s="92"/>
      <c r="AX180" s="92"/>
      <c r="AY180" s="92"/>
      <c r="AZ180" s="92"/>
      <c r="BA180" s="92"/>
      <c r="BB180" s="92"/>
    </row>
    <row r="181" spans="1:54" s="26" customFormat="1">
      <c r="A181" s="132"/>
      <c r="B181" s="133"/>
      <c r="C181" s="134"/>
      <c r="D181" s="134"/>
      <c r="AQ181" s="92"/>
      <c r="AR181" s="92"/>
      <c r="AS181" s="92"/>
      <c r="AT181" s="92"/>
      <c r="AU181" s="92"/>
      <c r="AV181" s="92"/>
      <c r="AW181" s="92"/>
      <c r="AX181" s="92"/>
      <c r="AY181" s="92"/>
      <c r="AZ181" s="92"/>
      <c r="BA181" s="92"/>
      <c r="BB181" s="92"/>
    </row>
    <row r="182" spans="1:54" s="26" customFormat="1">
      <c r="A182" s="132"/>
      <c r="B182" s="133"/>
      <c r="C182" s="134"/>
      <c r="D182" s="134"/>
      <c r="AQ182" s="92"/>
      <c r="AR182" s="92"/>
      <c r="AS182" s="92"/>
      <c r="AT182" s="92"/>
      <c r="AU182" s="92"/>
      <c r="AV182" s="92"/>
      <c r="AW182" s="92"/>
      <c r="AX182" s="92"/>
      <c r="AY182" s="92"/>
      <c r="AZ182" s="92"/>
      <c r="BA182" s="92"/>
      <c r="BB182" s="92"/>
    </row>
    <row r="183" spans="1:54" s="26" customFormat="1">
      <c r="A183" s="132"/>
      <c r="B183" s="133"/>
      <c r="C183" s="134"/>
      <c r="D183" s="134"/>
      <c r="AQ183" s="92"/>
      <c r="AR183" s="92"/>
      <c r="AS183" s="92"/>
      <c r="AT183" s="92"/>
      <c r="AU183" s="92"/>
      <c r="AV183" s="92"/>
      <c r="AW183" s="92"/>
      <c r="AX183" s="92"/>
      <c r="AY183" s="92"/>
      <c r="AZ183" s="92"/>
      <c r="BA183" s="92"/>
      <c r="BB183" s="92"/>
    </row>
    <row r="184" spans="1:54" s="26" customFormat="1">
      <c r="A184" s="132"/>
      <c r="B184" s="133"/>
      <c r="C184" s="134"/>
      <c r="D184" s="134"/>
      <c r="AQ184" s="92"/>
      <c r="AR184" s="92"/>
      <c r="AS184" s="92"/>
      <c r="AT184" s="92"/>
      <c r="AU184" s="92"/>
      <c r="AV184" s="92"/>
      <c r="AW184" s="92"/>
      <c r="AX184" s="92"/>
      <c r="AY184" s="92"/>
      <c r="AZ184" s="92"/>
      <c r="BA184" s="92"/>
      <c r="BB184" s="92"/>
    </row>
    <row r="185" spans="1:54" s="26" customFormat="1">
      <c r="A185" s="132"/>
      <c r="B185" s="133"/>
      <c r="C185" s="134"/>
      <c r="D185" s="134"/>
      <c r="AQ185" s="92"/>
      <c r="AR185" s="92"/>
      <c r="AS185" s="92"/>
      <c r="AT185" s="92"/>
      <c r="AU185" s="92"/>
      <c r="AV185" s="92"/>
      <c r="AW185" s="92"/>
      <c r="AX185" s="92"/>
      <c r="AY185" s="92"/>
      <c r="AZ185" s="92"/>
      <c r="BA185" s="92"/>
      <c r="BB185" s="92"/>
    </row>
    <row r="186" spans="1:54" s="26" customFormat="1">
      <c r="A186" s="132"/>
      <c r="B186" s="133"/>
      <c r="C186" s="134"/>
      <c r="D186" s="134"/>
      <c r="AQ186" s="92"/>
      <c r="AR186" s="92"/>
      <c r="AS186" s="92"/>
      <c r="AT186" s="92"/>
      <c r="AU186" s="92"/>
      <c r="AV186" s="92"/>
      <c r="AW186" s="92"/>
      <c r="AX186" s="92"/>
      <c r="AY186" s="92"/>
      <c r="AZ186" s="92"/>
      <c r="BA186" s="92"/>
      <c r="BB186" s="92"/>
    </row>
    <row r="187" spans="1:54" s="26" customFormat="1">
      <c r="A187" s="132"/>
      <c r="B187" s="133"/>
      <c r="C187" s="134"/>
      <c r="D187" s="134"/>
      <c r="AQ187" s="92"/>
      <c r="AR187" s="92"/>
      <c r="AS187" s="92"/>
      <c r="AT187" s="92"/>
      <c r="AU187" s="92"/>
      <c r="AV187" s="92"/>
      <c r="AW187" s="92"/>
      <c r="AX187" s="92"/>
      <c r="AY187" s="92"/>
      <c r="AZ187" s="92"/>
      <c r="BA187" s="92"/>
      <c r="BB187" s="92"/>
    </row>
    <row r="188" spans="1:54" s="26" customFormat="1">
      <c r="A188" s="132"/>
      <c r="B188" s="133"/>
      <c r="C188" s="134"/>
      <c r="D188" s="134"/>
      <c r="AQ188" s="92"/>
      <c r="AR188" s="92"/>
      <c r="AS188" s="92"/>
      <c r="AT188" s="92"/>
      <c r="AU188" s="92"/>
      <c r="AV188" s="92"/>
      <c r="AW188" s="92"/>
      <c r="AX188" s="92"/>
      <c r="AY188" s="92"/>
      <c r="AZ188" s="92"/>
      <c r="BA188" s="92"/>
      <c r="BB188" s="92"/>
    </row>
    <row r="189" spans="1:54" s="26" customFormat="1">
      <c r="A189" s="132"/>
      <c r="B189" s="133"/>
      <c r="C189" s="134"/>
      <c r="D189" s="134"/>
      <c r="AQ189" s="92"/>
      <c r="AR189" s="92"/>
      <c r="AS189" s="92"/>
      <c r="AT189" s="92"/>
      <c r="AU189" s="92"/>
      <c r="AV189" s="92"/>
      <c r="AW189" s="92"/>
      <c r="AX189" s="92"/>
      <c r="AY189" s="92"/>
      <c r="AZ189" s="92"/>
      <c r="BA189" s="92"/>
      <c r="BB189" s="92"/>
    </row>
    <row r="190" spans="1:54" s="26" customFormat="1">
      <c r="A190" s="132"/>
      <c r="B190" s="133"/>
      <c r="C190" s="134"/>
      <c r="D190" s="134"/>
      <c r="AQ190" s="92"/>
      <c r="AR190" s="92"/>
      <c r="AS190" s="92"/>
      <c r="AT190" s="92"/>
      <c r="AU190" s="92"/>
      <c r="AV190" s="92"/>
      <c r="AW190" s="92"/>
      <c r="AX190" s="92"/>
      <c r="AY190" s="92"/>
      <c r="AZ190" s="92"/>
      <c r="BA190" s="92"/>
      <c r="BB190" s="92"/>
    </row>
    <row r="191" spans="1:54" s="26" customFormat="1">
      <c r="A191" s="132"/>
      <c r="B191" s="133"/>
      <c r="C191" s="134"/>
      <c r="D191" s="134"/>
      <c r="AQ191" s="92"/>
      <c r="AR191" s="92"/>
      <c r="AS191" s="92"/>
      <c r="AT191" s="92"/>
      <c r="AU191" s="92"/>
      <c r="AV191" s="92"/>
      <c r="AW191" s="92"/>
      <c r="AX191" s="92"/>
      <c r="AY191" s="92"/>
      <c r="AZ191" s="92"/>
      <c r="BA191" s="92"/>
      <c r="BB191" s="92"/>
    </row>
    <row r="192" spans="1:54" s="26" customFormat="1">
      <c r="A192" s="132"/>
      <c r="B192" s="133"/>
      <c r="C192" s="134"/>
      <c r="D192" s="134"/>
      <c r="AQ192" s="92"/>
      <c r="AR192" s="92"/>
      <c r="AS192" s="92"/>
      <c r="AT192" s="92"/>
      <c r="AU192" s="92"/>
      <c r="AV192" s="92"/>
      <c r="AW192" s="92"/>
      <c r="AX192" s="92"/>
      <c r="AY192" s="92"/>
      <c r="AZ192" s="92"/>
      <c r="BA192" s="92"/>
      <c r="BB192" s="92"/>
    </row>
    <row r="193" spans="1:54" s="26" customFormat="1">
      <c r="A193" s="132"/>
      <c r="B193" s="133"/>
      <c r="C193" s="134"/>
      <c r="D193" s="134"/>
      <c r="AQ193" s="92"/>
      <c r="AR193" s="92"/>
      <c r="AS193" s="92"/>
      <c r="AT193" s="92"/>
      <c r="AU193" s="92"/>
      <c r="AV193" s="92"/>
      <c r="AW193" s="92"/>
      <c r="AX193" s="92"/>
      <c r="AY193" s="92"/>
      <c r="AZ193" s="92"/>
      <c r="BA193" s="92"/>
      <c r="BB193" s="92"/>
    </row>
    <row r="194" spans="1:54" s="26" customFormat="1">
      <c r="A194" s="132"/>
      <c r="B194" s="133"/>
      <c r="C194" s="134"/>
      <c r="D194" s="134"/>
      <c r="AQ194" s="92"/>
      <c r="AR194" s="92"/>
      <c r="AS194" s="92"/>
      <c r="AT194" s="92"/>
      <c r="AU194" s="92"/>
      <c r="AV194" s="92"/>
      <c r="AW194" s="92"/>
      <c r="AX194" s="92"/>
      <c r="AY194" s="92"/>
      <c r="AZ194" s="92"/>
      <c r="BA194" s="92"/>
      <c r="BB194" s="92"/>
    </row>
    <row r="195" spans="1:54" s="26" customFormat="1">
      <c r="A195" s="132"/>
      <c r="B195" s="133"/>
      <c r="C195" s="134"/>
      <c r="D195" s="134"/>
      <c r="AQ195" s="92"/>
      <c r="AR195" s="92"/>
      <c r="AS195" s="92"/>
      <c r="AT195" s="92"/>
      <c r="AU195" s="92"/>
      <c r="AV195" s="92"/>
      <c r="AW195" s="92"/>
      <c r="AX195" s="92"/>
      <c r="AY195" s="92"/>
      <c r="AZ195" s="92"/>
      <c r="BA195" s="92"/>
      <c r="BB195" s="92"/>
    </row>
    <row r="196" spans="1:54" s="26" customFormat="1">
      <c r="A196" s="132"/>
      <c r="B196" s="133"/>
      <c r="C196" s="134"/>
      <c r="D196" s="134"/>
      <c r="AQ196" s="92"/>
      <c r="AR196" s="92"/>
      <c r="AS196" s="92"/>
      <c r="AT196" s="92"/>
      <c r="AU196" s="92"/>
      <c r="AV196" s="92"/>
      <c r="AW196" s="92"/>
      <c r="AX196" s="92"/>
      <c r="AY196" s="92"/>
      <c r="AZ196" s="92"/>
      <c r="BA196" s="92"/>
      <c r="BB196" s="92"/>
    </row>
    <row r="197" spans="1:54" s="26" customFormat="1">
      <c r="A197" s="132"/>
      <c r="B197" s="133"/>
      <c r="C197" s="134"/>
      <c r="D197" s="134"/>
      <c r="AQ197" s="92"/>
      <c r="AR197" s="92"/>
      <c r="AS197" s="92"/>
      <c r="AT197" s="92"/>
      <c r="AU197" s="92"/>
      <c r="AV197" s="92"/>
      <c r="AW197" s="92"/>
      <c r="AX197" s="92"/>
      <c r="AY197" s="92"/>
      <c r="AZ197" s="92"/>
      <c r="BA197" s="92"/>
      <c r="BB197" s="92"/>
    </row>
    <row r="198" spans="1:54" s="26" customFormat="1">
      <c r="A198" s="132"/>
      <c r="B198" s="133"/>
      <c r="C198" s="134"/>
      <c r="D198" s="134"/>
      <c r="AQ198" s="92"/>
      <c r="AR198" s="92"/>
      <c r="AS198" s="92"/>
      <c r="AT198" s="92"/>
      <c r="AU198" s="92"/>
      <c r="AV198" s="92"/>
      <c r="AW198" s="92"/>
      <c r="AX198" s="92"/>
      <c r="AY198" s="92"/>
      <c r="AZ198" s="92"/>
      <c r="BA198" s="92"/>
      <c r="BB198" s="92"/>
    </row>
    <row r="199" spans="1:54" s="26" customFormat="1">
      <c r="A199" s="132"/>
      <c r="B199" s="133"/>
      <c r="C199" s="134"/>
      <c r="D199" s="134"/>
      <c r="AQ199" s="92"/>
      <c r="AR199" s="92"/>
      <c r="AS199" s="92"/>
      <c r="AT199" s="92"/>
      <c r="AU199" s="92"/>
      <c r="AV199" s="92"/>
      <c r="AW199" s="92"/>
      <c r="AX199" s="92"/>
      <c r="AY199" s="92"/>
      <c r="AZ199" s="92"/>
      <c r="BA199" s="92"/>
      <c r="BB199" s="92"/>
    </row>
    <row r="200" spans="1:54" s="26" customFormat="1">
      <c r="A200" s="132"/>
      <c r="B200" s="133"/>
      <c r="C200" s="134"/>
      <c r="D200" s="134"/>
      <c r="AQ200" s="92"/>
      <c r="AR200" s="92"/>
      <c r="AS200" s="92"/>
      <c r="AT200" s="92"/>
      <c r="AU200" s="92"/>
      <c r="AV200" s="92"/>
      <c r="AW200" s="92"/>
      <c r="AX200" s="92"/>
      <c r="AY200" s="92"/>
      <c r="AZ200" s="92"/>
      <c r="BA200" s="92"/>
      <c r="BB200" s="92"/>
    </row>
    <row r="201" spans="1:54" s="26" customFormat="1">
      <c r="A201" s="132"/>
      <c r="B201" s="133"/>
      <c r="C201" s="134"/>
      <c r="D201" s="134"/>
      <c r="AQ201" s="92"/>
      <c r="AR201" s="92"/>
      <c r="AS201" s="92"/>
      <c r="AT201" s="92"/>
      <c r="AU201" s="92"/>
      <c r="AV201" s="92"/>
      <c r="AW201" s="92"/>
      <c r="AX201" s="92"/>
      <c r="AY201" s="92"/>
      <c r="AZ201" s="92"/>
      <c r="BA201" s="92"/>
      <c r="BB201" s="92"/>
    </row>
    <row r="202" spans="1:54" s="26" customFormat="1">
      <c r="A202" s="132"/>
      <c r="B202" s="133"/>
      <c r="C202" s="134"/>
      <c r="D202" s="134"/>
      <c r="AQ202" s="92"/>
      <c r="AR202" s="92"/>
      <c r="AS202" s="92"/>
      <c r="AT202" s="92"/>
      <c r="AU202" s="92"/>
      <c r="AV202" s="92"/>
      <c r="AW202" s="92"/>
      <c r="AX202" s="92"/>
      <c r="AY202" s="92"/>
      <c r="AZ202" s="92"/>
      <c r="BA202" s="92"/>
      <c r="BB202" s="92"/>
    </row>
    <row r="203" spans="1:54" s="26" customFormat="1">
      <c r="A203" s="132"/>
      <c r="B203" s="133"/>
      <c r="C203" s="134"/>
      <c r="D203" s="134"/>
      <c r="AQ203" s="92"/>
      <c r="AR203" s="92"/>
      <c r="AS203" s="92"/>
      <c r="AT203" s="92"/>
      <c r="AU203" s="92"/>
      <c r="AV203" s="92"/>
      <c r="AW203" s="92"/>
      <c r="AX203" s="92"/>
      <c r="AY203" s="92"/>
      <c r="AZ203" s="92"/>
      <c r="BA203" s="92"/>
      <c r="BB203" s="92"/>
    </row>
    <row r="204" spans="1:54" s="26" customFormat="1">
      <c r="A204" s="132"/>
      <c r="B204" s="133"/>
      <c r="C204" s="134"/>
      <c r="D204" s="134"/>
      <c r="AQ204" s="92"/>
      <c r="AR204" s="92"/>
      <c r="AS204" s="92"/>
      <c r="AT204" s="92"/>
      <c r="AU204" s="92"/>
      <c r="AV204" s="92"/>
      <c r="AW204" s="92"/>
      <c r="AX204" s="92"/>
      <c r="AY204" s="92"/>
      <c r="AZ204" s="92"/>
      <c r="BA204" s="92"/>
      <c r="BB204" s="92"/>
    </row>
    <row r="205" spans="1:54" s="26" customFormat="1">
      <c r="A205" s="132"/>
      <c r="B205" s="133"/>
      <c r="C205" s="134"/>
      <c r="D205" s="134"/>
      <c r="AQ205" s="92"/>
      <c r="AR205" s="92"/>
      <c r="AS205" s="92"/>
      <c r="AT205" s="92"/>
      <c r="AU205" s="92"/>
      <c r="AV205" s="92"/>
      <c r="AW205" s="92"/>
      <c r="AX205" s="92"/>
      <c r="AY205" s="92"/>
      <c r="AZ205" s="92"/>
      <c r="BA205" s="92"/>
      <c r="BB205" s="92"/>
    </row>
    <row r="206" spans="1:54" s="26" customFormat="1">
      <c r="A206" s="132"/>
      <c r="B206" s="133"/>
      <c r="C206" s="134"/>
      <c r="D206" s="134"/>
      <c r="AQ206" s="92"/>
      <c r="AR206" s="92"/>
      <c r="AS206" s="92"/>
      <c r="AT206" s="92"/>
      <c r="AU206" s="92"/>
      <c r="AV206" s="92"/>
      <c r="AW206" s="92"/>
      <c r="AX206" s="92"/>
      <c r="AY206" s="92"/>
      <c r="AZ206" s="92"/>
      <c r="BA206" s="92"/>
      <c r="BB206" s="92"/>
    </row>
    <row r="207" spans="1:54" s="26" customFormat="1">
      <c r="A207" s="132"/>
      <c r="B207" s="133"/>
      <c r="C207" s="134"/>
      <c r="D207" s="134"/>
      <c r="AQ207" s="92"/>
      <c r="AR207" s="92"/>
      <c r="AS207" s="92"/>
      <c r="AT207" s="92"/>
      <c r="AU207" s="92"/>
      <c r="AV207" s="92"/>
      <c r="AW207" s="92"/>
      <c r="AX207" s="92"/>
      <c r="AY207" s="92"/>
      <c r="AZ207" s="92"/>
      <c r="BA207" s="92"/>
      <c r="BB207" s="92"/>
    </row>
    <row r="208" spans="1:54" s="26" customFormat="1">
      <c r="A208" s="132"/>
      <c r="B208" s="133"/>
      <c r="C208" s="134"/>
      <c r="D208" s="134"/>
      <c r="AQ208" s="92"/>
      <c r="AR208" s="92"/>
      <c r="AS208" s="92"/>
      <c r="AT208" s="92"/>
      <c r="AU208" s="92"/>
      <c r="AV208" s="92"/>
      <c r="AW208" s="92"/>
      <c r="AX208" s="92"/>
      <c r="AY208" s="92"/>
      <c r="AZ208" s="92"/>
      <c r="BA208" s="92"/>
      <c r="BB208" s="92"/>
    </row>
    <row r="209" spans="1:54" s="26" customFormat="1">
      <c r="A209" s="132"/>
      <c r="B209" s="133"/>
      <c r="C209" s="134"/>
      <c r="D209" s="134"/>
      <c r="AQ209" s="92"/>
      <c r="AR209" s="92"/>
      <c r="AS209" s="92"/>
      <c r="AT209" s="92"/>
      <c r="AU209" s="92"/>
      <c r="AV209" s="92"/>
      <c r="AW209" s="92"/>
      <c r="AX209" s="92"/>
      <c r="AY209" s="92"/>
      <c r="AZ209" s="92"/>
      <c r="BA209" s="92"/>
      <c r="BB209" s="92"/>
    </row>
    <row r="210" spans="1:54" s="26" customFormat="1">
      <c r="A210" s="132"/>
      <c r="B210" s="133"/>
      <c r="C210" s="134"/>
      <c r="D210" s="134"/>
      <c r="AQ210" s="92"/>
      <c r="AR210" s="92"/>
      <c r="AS210" s="92"/>
      <c r="AT210" s="92"/>
      <c r="AU210" s="92"/>
      <c r="AV210" s="92"/>
      <c r="AW210" s="92"/>
      <c r="AX210" s="92"/>
      <c r="AY210" s="92"/>
      <c r="AZ210" s="92"/>
      <c r="BA210" s="92"/>
      <c r="BB210" s="92"/>
    </row>
    <row r="211" spans="1:54" s="26" customFormat="1">
      <c r="A211" s="132"/>
      <c r="B211" s="133"/>
      <c r="C211" s="134"/>
      <c r="D211" s="134"/>
      <c r="AQ211" s="92"/>
      <c r="AR211" s="92"/>
      <c r="AS211" s="92"/>
      <c r="AT211" s="92"/>
      <c r="AU211" s="92"/>
      <c r="AV211" s="92"/>
      <c r="AW211" s="92"/>
      <c r="AX211" s="92"/>
      <c r="AY211" s="92"/>
      <c r="AZ211" s="92"/>
      <c r="BA211" s="92"/>
      <c r="BB211" s="92"/>
    </row>
    <row r="212" spans="1:54" s="26" customFormat="1">
      <c r="A212" s="132"/>
      <c r="B212" s="133"/>
      <c r="C212" s="134"/>
      <c r="D212" s="134"/>
      <c r="AQ212" s="92"/>
      <c r="AR212" s="92"/>
      <c r="AS212" s="92"/>
      <c r="AT212" s="92"/>
      <c r="AU212" s="92"/>
      <c r="AV212" s="92"/>
      <c r="AW212" s="92"/>
      <c r="AX212" s="92"/>
      <c r="AY212" s="92"/>
      <c r="AZ212" s="92"/>
      <c r="BA212" s="92"/>
      <c r="BB212" s="92"/>
    </row>
    <row r="213" spans="1:54" s="26" customFormat="1">
      <c r="A213" s="132"/>
      <c r="B213" s="133"/>
      <c r="C213" s="134"/>
      <c r="D213" s="134"/>
      <c r="AQ213" s="92"/>
      <c r="AR213" s="92"/>
      <c r="AS213" s="92"/>
      <c r="AT213" s="92"/>
      <c r="AU213" s="92"/>
      <c r="AV213" s="92"/>
      <c r="AW213" s="92"/>
      <c r="AX213" s="92"/>
      <c r="AY213" s="92"/>
      <c r="AZ213" s="92"/>
      <c r="BA213" s="92"/>
      <c r="BB213" s="92"/>
    </row>
    <row r="214" spans="1:54" s="26" customFormat="1">
      <c r="A214" s="132"/>
      <c r="B214" s="133"/>
      <c r="C214" s="134"/>
      <c r="D214" s="134"/>
      <c r="AQ214" s="92"/>
      <c r="AR214" s="92"/>
      <c r="AS214" s="92"/>
      <c r="AT214" s="92"/>
      <c r="AU214" s="92"/>
      <c r="AV214" s="92"/>
      <c r="AW214" s="92"/>
      <c r="AX214" s="92"/>
      <c r="AY214" s="92"/>
      <c r="AZ214" s="92"/>
      <c r="BA214" s="92"/>
      <c r="BB214" s="92"/>
    </row>
    <row r="215" spans="1:54" s="26" customFormat="1">
      <c r="A215" s="132"/>
      <c r="B215" s="133"/>
      <c r="C215" s="134"/>
      <c r="D215" s="134"/>
      <c r="AQ215" s="92"/>
      <c r="AR215" s="92"/>
      <c r="AS215" s="92"/>
      <c r="AT215" s="92"/>
      <c r="AU215" s="92"/>
      <c r="AV215" s="92"/>
      <c r="AW215" s="92"/>
      <c r="AX215" s="92"/>
      <c r="AY215" s="92"/>
      <c r="AZ215" s="92"/>
      <c r="BA215" s="92"/>
      <c r="BB215" s="92"/>
    </row>
    <row r="216" spans="1:54" s="26" customFormat="1">
      <c r="A216" s="132"/>
      <c r="B216" s="133"/>
      <c r="C216" s="134"/>
      <c r="D216" s="134"/>
      <c r="AQ216" s="92"/>
      <c r="AR216" s="92"/>
      <c r="AS216" s="92"/>
      <c r="AT216" s="92"/>
      <c r="AU216" s="92"/>
      <c r="AV216" s="92"/>
      <c r="AW216" s="92"/>
      <c r="AX216" s="92"/>
      <c r="AY216" s="92"/>
      <c r="AZ216" s="92"/>
      <c r="BA216" s="92"/>
      <c r="BB216" s="92"/>
    </row>
    <row r="217" spans="1:54" s="26" customFormat="1">
      <c r="A217" s="132"/>
      <c r="B217" s="133"/>
      <c r="C217" s="134"/>
      <c r="D217" s="134"/>
      <c r="AQ217" s="92"/>
      <c r="AR217" s="92"/>
      <c r="AS217" s="92"/>
      <c r="AT217" s="92"/>
      <c r="AU217" s="92"/>
      <c r="AV217" s="92"/>
      <c r="AW217" s="92"/>
      <c r="AX217" s="92"/>
      <c r="AY217" s="92"/>
      <c r="AZ217" s="92"/>
      <c r="BA217" s="92"/>
      <c r="BB217" s="92"/>
    </row>
    <row r="218" spans="1:54" s="26" customFormat="1">
      <c r="A218" s="132"/>
      <c r="B218" s="133"/>
      <c r="C218" s="134"/>
      <c r="D218" s="134"/>
      <c r="AQ218" s="92"/>
      <c r="AR218" s="92"/>
      <c r="AS218" s="92"/>
      <c r="AT218" s="92"/>
      <c r="AU218" s="92"/>
      <c r="AV218" s="92"/>
      <c r="AW218" s="92"/>
      <c r="AX218" s="92"/>
      <c r="AY218" s="92"/>
      <c r="AZ218" s="92"/>
      <c r="BA218" s="92"/>
      <c r="BB218" s="92"/>
    </row>
    <row r="219" spans="1:54" s="26" customFormat="1">
      <c r="A219" s="132"/>
      <c r="B219" s="133"/>
      <c r="C219" s="134"/>
      <c r="D219" s="134"/>
      <c r="AQ219" s="92"/>
      <c r="AR219" s="92"/>
      <c r="AS219" s="92"/>
      <c r="AT219" s="92"/>
      <c r="AU219" s="92"/>
      <c r="AV219" s="92"/>
      <c r="AW219" s="92"/>
      <c r="AX219" s="92"/>
      <c r="AY219" s="92"/>
      <c r="AZ219" s="92"/>
      <c r="BA219" s="92"/>
      <c r="BB219" s="92"/>
    </row>
    <row r="220" spans="1:54" s="26" customFormat="1">
      <c r="A220" s="132"/>
      <c r="B220" s="133"/>
      <c r="C220" s="134"/>
      <c r="D220" s="134"/>
      <c r="AQ220" s="92"/>
      <c r="AR220" s="92"/>
      <c r="AS220" s="92"/>
      <c r="AT220" s="92"/>
      <c r="AU220" s="92"/>
      <c r="AV220" s="92"/>
      <c r="AW220" s="92"/>
      <c r="AX220" s="92"/>
      <c r="AY220" s="92"/>
      <c r="AZ220" s="92"/>
      <c r="BA220" s="92"/>
      <c r="BB220" s="92"/>
    </row>
    <row r="221" spans="1:54" s="26" customFormat="1">
      <c r="A221" s="132"/>
      <c r="B221" s="133"/>
      <c r="C221" s="134"/>
      <c r="D221" s="134"/>
      <c r="AQ221" s="92"/>
      <c r="AR221" s="92"/>
      <c r="AS221" s="92"/>
      <c r="AT221" s="92"/>
      <c r="AU221" s="92"/>
      <c r="AV221" s="92"/>
      <c r="AW221" s="92"/>
      <c r="AX221" s="92"/>
      <c r="AY221" s="92"/>
      <c r="AZ221" s="92"/>
      <c r="BA221" s="92"/>
      <c r="BB221" s="92"/>
    </row>
    <row r="222" spans="1:54" s="26" customFormat="1">
      <c r="A222" s="132"/>
      <c r="B222" s="133"/>
      <c r="C222" s="134"/>
      <c r="D222" s="134"/>
      <c r="AQ222" s="92"/>
      <c r="AR222" s="92"/>
      <c r="AS222" s="92"/>
      <c r="AT222" s="92"/>
      <c r="AU222" s="92"/>
      <c r="AV222" s="92"/>
      <c r="AW222" s="92"/>
      <c r="AX222" s="92"/>
      <c r="AY222" s="92"/>
      <c r="AZ222" s="92"/>
      <c r="BA222" s="92"/>
      <c r="BB222" s="92"/>
    </row>
    <row r="223" spans="1:54" s="26" customFormat="1">
      <c r="A223" s="132"/>
      <c r="B223" s="133"/>
      <c r="C223" s="134"/>
      <c r="D223" s="134"/>
      <c r="AQ223" s="92"/>
      <c r="AR223" s="92"/>
      <c r="AS223" s="92"/>
      <c r="AT223" s="92"/>
      <c r="AU223" s="92"/>
      <c r="AV223" s="92"/>
      <c r="AW223" s="92"/>
      <c r="AX223" s="92"/>
      <c r="AY223" s="92"/>
      <c r="AZ223" s="92"/>
      <c r="BA223" s="92"/>
      <c r="BB223" s="92"/>
    </row>
    <row r="224" spans="1:54" s="26" customFormat="1">
      <c r="A224" s="132"/>
      <c r="B224" s="133"/>
      <c r="C224" s="134"/>
      <c r="D224" s="134"/>
      <c r="AQ224" s="92"/>
      <c r="AR224" s="92"/>
      <c r="AS224" s="92"/>
      <c r="AT224" s="92"/>
      <c r="AU224" s="92"/>
      <c r="AV224" s="92"/>
      <c r="AW224" s="92"/>
      <c r="AX224" s="92"/>
      <c r="AY224" s="92"/>
      <c r="AZ224" s="92"/>
      <c r="BA224" s="92"/>
      <c r="BB224" s="92"/>
    </row>
    <row r="225" spans="1:54" s="26" customFormat="1">
      <c r="A225" s="132"/>
      <c r="B225" s="133"/>
      <c r="C225" s="134"/>
      <c r="D225" s="134"/>
      <c r="AQ225" s="92"/>
      <c r="AR225" s="92"/>
      <c r="AS225" s="92"/>
      <c r="AT225" s="92"/>
      <c r="AU225" s="92"/>
      <c r="AV225" s="92"/>
      <c r="AW225" s="92"/>
      <c r="AX225" s="92"/>
      <c r="AY225" s="92"/>
      <c r="AZ225" s="92"/>
      <c r="BA225" s="92"/>
      <c r="BB225" s="92"/>
    </row>
    <row r="226" spans="1:54" s="26" customFormat="1">
      <c r="A226" s="132"/>
      <c r="B226" s="133"/>
      <c r="C226" s="134"/>
      <c r="D226" s="134"/>
      <c r="AQ226" s="92"/>
      <c r="AR226" s="92"/>
      <c r="AS226" s="92"/>
      <c r="AT226" s="92"/>
      <c r="AU226" s="92"/>
      <c r="AV226" s="92"/>
      <c r="AW226" s="92"/>
      <c r="AX226" s="92"/>
      <c r="AY226" s="92"/>
      <c r="AZ226" s="92"/>
      <c r="BA226" s="92"/>
      <c r="BB226" s="92"/>
    </row>
    <row r="227" spans="1:54" s="26" customFormat="1">
      <c r="A227" s="132"/>
      <c r="B227" s="133"/>
      <c r="C227" s="134"/>
      <c r="D227" s="134"/>
      <c r="AQ227" s="92"/>
      <c r="AR227" s="92"/>
      <c r="AS227" s="92"/>
      <c r="AT227" s="92"/>
      <c r="AU227" s="92"/>
      <c r="AV227" s="92"/>
      <c r="AW227" s="92"/>
      <c r="AX227" s="92"/>
      <c r="AY227" s="92"/>
      <c r="AZ227" s="92"/>
      <c r="BA227" s="92"/>
      <c r="BB227" s="92"/>
    </row>
    <row r="228" spans="1:54" s="26" customFormat="1">
      <c r="A228" s="132"/>
      <c r="B228" s="133"/>
      <c r="C228" s="134"/>
      <c r="D228" s="134"/>
      <c r="AQ228" s="92"/>
      <c r="AR228" s="92"/>
      <c r="AS228" s="92"/>
      <c r="AT228" s="92"/>
      <c r="AU228" s="92"/>
      <c r="AV228" s="92"/>
      <c r="AW228" s="92"/>
      <c r="AX228" s="92"/>
      <c r="AY228" s="92"/>
      <c r="AZ228" s="92"/>
      <c r="BA228" s="92"/>
      <c r="BB228" s="92"/>
    </row>
    <row r="229" spans="1:54" s="26" customFormat="1">
      <c r="A229" s="132"/>
      <c r="B229" s="133"/>
      <c r="C229" s="134"/>
      <c r="D229" s="134"/>
      <c r="AQ229" s="92"/>
      <c r="AR229" s="92"/>
      <c r="AS229" s="92"/>
      <c r="AT229" s="92"/>
      <c r="AU229" s="92"/>
      <c r="AV229" s="92"/>
      <c r="AW229" s="92"/>
      <c r="AX229" s="92"/>
      <c r="AY229" s="92"/>
      <c r="AZ229" s="92"/>
      <c r="BA229" s="92"/>
      <c r="BB229" s="92"/>
    </row>
    <row r="230" spans="1:54" s="26" customFormat="1">
      <c r="A230" s="132"/>
      <c r="B230" s="133"/>
      <c r="C230" s="134"/>
      <c r="D230" s="134"/>
      <c r="AQ230" s="92"/>
      <c r="AR230" s="92"/>
      <c r="AS230" s="92"/>
      <c r="AT230" s="92"/>
      <c r="AU230" s="92"/>
      <c r="AV230" s="92"/>
      <c r="AW230" s="92"/>
      <c r="AX230" s="92"/>
      <c r="AY230" s="92"/>
      <c r="AZ230" s="92"/>
      <c r="BA230" s="92"/>
      <c r="BB230" s="92"/>
    </row>
    <row r="231" spans="1:54" s="26" customFormat="1">
      <c r="A231" s="132"/>
      <c r="B231" s="133"/>
      <c r="C231" s="134"/>
      <c r="D231" s="134"/>
      <c r="AQ231" s="92"/>
      <c r="AR231" s="92"/>
      <c r="AS231" s="92"/>
      <c r="AT231" s="92"/>
      <c r="AU231" s="92"/>
      <c r="AV231" s="92"/>
      <c r="AW231" s="92"/>
      <c r="AX231" s="92"/>
      <c r="AY231" s="92"/>
      <c r="AZ231" s="92"/>
      <c r="BA231" s="92"/>
      <c r="BB231" s="92"/>
    </row>
    <row r="232" spans="1:54" s="26" customFormat="1">
      <c r="A232" s="132"/>
      <c r="B232" s="133"/>
      <c r="C232" s="134"/>
      <c r="D232" s="134"/>
      <c r="AQ232" s="92"/>
      <c r="AR232" s="92"/>
      <c r="AS232" s="92"/>
      <c r="AT232" s="92"/>
      <c r="AU232" s="92"/>
      <c r="AV232" s="92"/>
      <c r="AW232" s="92"/>
      <c r="AX232" s="92"/>
      <c r="AY232" s="92"/>
      <c r="AZ232" s="92"/>
      <c r="BA232" s="92"/>
      <c r="BB232" s="92"/>
    </row>
    <row r="233" spans="1:54" s="26" customFormat="1">
      <c r="A233" s="132"/>
      <c r="B233" s="133"/>
      <c r="C233" s="134"/>
      <c r="D233" s="134"/>
      <c r="AQ233" s="92"/>
      <c r="AR233" s="92"/>
      <c r="AS233" s="92"/>
      <c r="AT233" s="92"/>
      <c r="AU233" s="92"/>
      <c r="AV233" s="92"/>
      <c r="AW233" s="92"/>
      <c r="AX233" s="92"/>
      <c r="AY233" s="92"/>
      <c r="AZ233" s="92"/>
      <c r="BA233" s="92"/>
      <c r="BB233" s="92"/>
    </row>
    <row r="234" spans="1:54" s="26" customFormat="1">
      <c r="A234" s="132"/>
      <c r="B234" s="133"/>
      <c r="C234" s="134"/>
      <c r="D234" s="134"/>
      <c r="AQ234" s="92"/>
      <c r="AR234" s="92"/>
      <c r="AS234" s="92"/>
      <c r="AT234" s="92"/>
      <c r="AU234" s="92"/>
      <c r="AV234" s="92"/>
      <c r="AW234" s="92"/>
      <c r="AX234" s="92"/>
      <c r="AY234" s="92"/>
      <c r="AZ234" s="92"/>
      <c r="BA234" s="92"/>
      <c r="BB234" s="92"/>
    </row>
    <row r="235" spans="1:54" s="26" customFormat="1">
      <c r="A235" s="132"/>
      <c r="B235" s="133"/>
      <c r="C235" s="134"/>
      <c r="D235" s="134"/>
      <c r="AQ235" s="92"/>
      <c r="AR235" s="92"/>
      <c r="AS235" s="92"/>
      <c r="AT235" s="92"/>
      <c r="AU235" s="92"/>
      <c r="AV235" s="92"/>
      <c r="AW235" s="92"/>
      <c r="AX235" s="92"/>
      <c r="AY235" s="92"/>
      <c r="AZ235" s="92"/>
      <c r="BA235" s="92"/>
      <c r="BB235" s="92"/>
    </row>
    <row r="236" spans="1:54" s="26" customFormat="1">
      <c r="A236" s="132"/>
      <c r="B236" s="133"/>
      <c r="C236" s="134"/>
      <c r="D236" s="134"/>
      <c r="AQ236" s="92"/>
      <c r="AR236" s="92"/>
      <c r="AS236" s="92"/>
      <c r="AT236" s="92"/>
      <c r="AU236" s="92"/>
      <c r="AV236" s="92"/>
      <c r="AW236" s="92"/>
      <c r="AX236" s="92"/>
      <c r="AY236" s="92"/>
      <c r="AZ236" s="92"/>
      <c r="BA236" s="92"/>
      <c r="BB236" s="92"/>
    </row>
    <row r="237" spans="1:54" s="26" customFormat="1">
      <c r="A237" s="132"/>
      <c r="B237" s="133"/>
      <c r="C237" s="134"/>
      <c r="D237" s="134"/>
      <c r="AQ237" s="92"/>
      <c r="AR237" s="92"/>
      <c r="AS237" s="92"/>
      <c r="AT237" s="92"/>
      <c r="AU237" s="92"/>
      <c r="AV237" s="92"/>
      <c r="AW237" s="92"/>
      <c r="AX237" s="92"/>
      <c r="AY237" s="92"/>
      <c r="AZ237" s="92"/>
      <c r="BA237" s="92"/>
      <c r="BB237" s="92"/>
    </row>
    <row r="238" spans="1:54" s="26" customFormat="1">
      <c r="A238" s="132"/>
      <c r="B238" s="133"/>
      <c r="C238" s="134"/>
      <c r="D238" s="134"/>
      <c r="AQ238" s="92"/>
      <c r="AR238" s="92"/>
      <c r="AS238" s="92"/>
      <c r="AT238" s="92"/>
      <c r="AU238" s="92"/>
      <c r="AV238" s="92"/>
      <c r="AW238" s="92"/>
      <c r="AX238" s="92"/>
      <c r="AY238" s="92"/>
      <c r="AZ238" s="92"/>
      <c r="BA238" s="92"/>
      <c r="BB238" s="92"/>
    </row>
    <row r="239" spans="1:54" s="26" customFormat="1">
      <c r="A239" s="132"/>
      <c r="B239" s="133"/>
      <c r="C239" s="134"/>
      <c r="D239" s="134"/>
      <c r="AQ239" s="92"/>
      <c r="AR239" s="92"/>
      <c r="AS239" s="92"/>
      <c r="AT239" s="92"/>
      <c r="AU239" s="92"/>
      <c r="AV239" s="92"/>
      <c r="AW239" s="92"/>
      <c r="AX239" s="92"/>
      <c r="AY239" s="92"/>
      <c r="AZ239" s="92"/>
      <c r="BA239" s="92"/>
      <c r="BB239" s="92"/>
    </row>
    <row r="240" spans="1:54" s="26" customFormat="1">
      <c r="A240" s="132"/>
      <c r="B240" s="133"/>
      <c r="C240" s="134"/>
      <c r="D240" s="134"/>
      <c r="AQ240" s="92"/>
      <c r="AR240" s="92"/>
      <c r="AS240" s="92"/>
      <c r="AT240" s="92"/>
      <c r="AU240" s="92"/>
      <c r="AV240" s="92"/>
      <c r="AW240" s="92"/>
      <c r="AX240" s="92"/>
      <c r="AY240" s="92"/>
      <c r="AZ240" s="92"/>
      <c r="BA240" s="92"/>
      <c r="BB240" s="92"/>
    </row>
    <row r="241" spans="1:54" s="26" customFormat="1">
      <c r="A241" s="132"/>
      <c r="B241" s="133"/>
      <c r="C241" s="134"/>
      <c r="D241" s="134"/>
      <c r="AQ241" s="92"/>
      <c r="AR241" s="92"/>
      <c r="AS241" s="92"/>
      <c r="AT241" s="92"/>
      <c r="AU241" s="92"/>
      <c r="AV241" s="92"/>
      <c r="AW241" s="92"/>
      <c r="AX241" s="92"/>
      <c r="AY241" s="92"/>
      <c r="AZ241" s="92"/>
      <c r="BA241" s="92"/>
      <c r="BB241" s="92"/>
    </row>
    <row r="242" spans="1:54" s="26" customFormat="1">
      <c r="A242" s="132"/>
      <c r="B242" s="133"/>
      <c r="C242" s="134"/>
      <c r="D242" s="134"/>
      <c r="AQ242" s="92"/>
      <c r="AR242" s="92"/>
      <c r="AS242" s="92"/>
      <c r="AT242" s="92"/>
      <c r="AU242" s="92"/>
      <c r="AV242" s="92"/>
      <c r="AW242" s="92"/>
      <c r="AX242" s="92"/>
      <c r="AY242" s="92"/>
      <c r="AZ242" s="92"/>
      <c r="BA242" s="92"/>
      <c r="BB242" s="92"/>
    </row>
    <row r="243" spans="1:54" s="26" customFormat="1">
      <c r="A243" s="132"/>
      <c r="B243" s="133"/>
      <c r="C243" s="134"/>
      <c r="D243" s="134"/>
      <c r="AQ243" s="92"/>
      <c r="AR243" s="92"/>
      <c r="AS243" s="92"/>
      <c r="AT243" s="92"/>
      <c r="AU243" s="92"/>
      <c r="AV243" s="92"/>
      <c r="AW243" s="92"/>
      <c r="AX243" s="92"/>
      <c r="AY243" s="92"/>
      <c r="AZ243" s="92"/>
      <c r="BA243" s="92"/>
      <c r="BB243" s="92"/>
    </row>
    <row r="244" spans="1:54" s="26" customFormat="1">
      <c r="A244" s="132"/>
      <c r="B244" s="133"/>
      <c r="C244" s="134"/>
      <c r="D244" s="134"/>
      <c r="AQ244" s="92"/>
      <c r="AR244" s="92"/>
      <c r="AS244" s="92"/>
      <c r="AT244" s="92"/>
      <c r="AU244" s="92"/>
      <c r="AV244" s="92"/>
      <c r="AW244" s="92"/>
      <c r="AX244" s="92"/>
      <c r="AY244" s="92"/>
      <c r="AZ244" s="92"/>
      <c r="BA244" s="92"/>
      <c r="BB244" s="92"/>
    </row>
    <row r="245" spans="1:54" s="26" customFormat="1">
      <c r="A245" s="132"/>
      <c r="B245" s="133"/>
      <c r="C245" s="134"/>
      <c r="D245" s="134"/>
      <c r="AQ245" s="92"/>
      <c r="AR245" s="92"/>
      <c r="AS245" s="92"/>
      <c r="AT245" s="92"/>
      <c r="AU245" s="92"/>
      <c r="AV245" s="92"/>
      <c r="AW245" s="92"/>
      <c r="AX245" s="92"/>
      <c r="AY245" s="92"/>
      <c r="AZ245" s="92"/>
      <c r="BA245" s="92"/>
      <c r="BB245" s="92"/>
    </row>
    <row r="246" spans="1:54" s="26" customFormat="1">
      <c r="A246" s="132"/>
      <c r="B246" s="133"/>
      <c r="C246" s="134"/>
      <c r="D246" s="134"/>
      <c r="AQ246" s="92"/>
      <c r="AR246" s="92"/>
      <c r="AS246" s="92"/>
      <c r="AT246" s="92"/>
      <c r="AU246" s="92"/>
      <c r="AV246" s="92"/>
      <c r="AW246" s="92"/>
      <c r="AX246" s="92"/>
      <c r="AY246" s="92"/>
      <c r="AZ246" s="92"/>
      <c r="BA246" s="92"/>
      <c r="BB246" s="92"/>
    </row>
    <row r="247" spans="1:54" s="26" customFormat="1">
      <c r="A247" s="132"/>
      <c r="B247" s="133"/>
      <c r="C247" s="134"/>
      <c r="D247" s="134"/>
      <c r="AQ247" s="92"/>
      <c r="AR247" s="92"/>
      <c r="AS247" s="92"/>
      <c r="AT247" s="92"/>
      <c r="AU247" s="92"/>
      <c r="AV247" s="92"/>
      <c r="AW247" s="92"/>
      <c r="AX247" s="92"/>
      <c r="AY247" s="92"/>
      <c r="AZ247" s="92"/>
      <c r="BA247" s="92"/>
      <c r="BB247" s="92"/>
    </row>
    <row r="248" spans="1:54" s="26" customFormat="1">
      <c r="A248" s="132"/>
      <c r="B248" s="133"/>
      <c r="C248" s="134"/>
      <c r="D248" s="134"/>
      <c r="AQ248" s="92"/>
      <c r="AR248" s="92"/>
      <c r="AS248" s="92"/>
      <c r="AT248" s="92"/>
      <c r="AU248" s="92"/>
      <c r="AV248" s="92"/>
      <c r="AW248" s="92"/>
      <c r="AX248" s="92"/>
      <c r="AY248" s="92"/>
      <c r="AZ248" s="92"/>
      <c r="BA248" s="92"/>
      <c r="BB248" s="92"/>
    </row>
    <row r="249" spans="1:54" s="26" customFormat="1">
      <c r="A249" s="132"/>
      <c r="B249" s="133"/>
      <c r="C249" s="134"/>
      <c r="D249" s="134"/>
      <c r="AQ249" s="92"/>
      <c r="AR249" s="92"/>
      <c r="AS249" s="92"/>
      <c r="AT249" s="92"/>
      <c r="AU249" s="92"/>
      <c r="AV249" s="92"/>
      <c r="AW249" s="92"/>
      <c r="AX249" s="92"/>
      <c r="AY249" s="92"/>
      <c r="AZ249" s="92"/>
      <c r="BA249" s="92"/>
      <c r="BB249" s="92"/>
    </row>
    <row r="250" spans="1:54" s="26" customFormat="1">
      <c r="A250" s="132"/>
      <c r="B250" s="133"/>
      <c r="C250" s="134"/>
      <c r="D250" s="134"/>
      <c r="AQ250" s="92"/>
      <c r="AR250" s="92"/>
      <c r="AS250" s="92"/>
      <c r="AT250" s="92"/>
      <c r="AU250" s="92"/>
      <c r="AV250" s="92"/>
      <c r="AW250" s="92"/>
      <c r="AX250" s="92"/>
      <c r="AY250" s="92"/>
      <c r="AZ250" s="92"/>
      <c r="BA250" s="92"/>
      <c r="BB250" s="92"/>
    </row>
    <row r="251" spans="1:54" s="26" customFormat="1">
      <c r="A251" s="132"/>
      <c r="B251" s="133"/>
      <c r="C251" s="134"/>
      <c r="D251" s="134"/>
      <c r="AQ251" s="92"/>
      <c r="AR251" s="92"/>
      <c r="AS251" s="92"/>
      <c r="AT251" s="92"/>
      <c r="AU251" s="92"/>
      <c r="AV251" s="92"/>
      <c r="AW251" s="92"/>
      <c r="AX251" s="92"/>
      <c r="AY251" s="92"/>
      <c r="AZ251" s="92"/>
      <c r="BA251" s="92"/>
      <c r="BB251" s="92"/>
    </row>
    <row r="252" spans="1:54" s="26" customFormat="1">
      <c r="A252" s="132"/>
      <c r="B252" s="133"/>
      <c r="C252" s="134"/>
      <c r="D252" s="134"/>
      <c r="AQ252" s="92"/>
      <c r="AR252" s="92"/>
      <c r="AS252" s="92"/>
      <c r="AT252" s="92"/>
      <c r="AU252" s="92"/>
      <c r="AV252" s="92"/>
      <c r="AW252" s="92"/>
      <c r="AX252" s="92"/>
      <c r="AY252" s="92"/>
      <c r="AZ252" s="92"/>
      <c r="BA252" s="92"/>
      <c r="BB252" s="92"/>
    </row>
    <row r="253" spans="1:54" s="26" customFormat="1">
      <c r="A253" s="132"/>
      <c r="B253" s="133"/>
      <c r="C253" s="134"/>
      <c r="D253" s="134"/>
      <c r="AQ253" s="92"/>
      <c r="AR253" s="92"/>
      <c r="AS253" s="92"/>
      <c r="AT253" s="92"/>
      <c r="AU253" s="92"/>
      <c r="AV253" s="92"/>
      <c r="AW253" s="92"/>
      <c r="AX253" s="92"/>
      <c r="AY253" s="92"/>
      <c r="AZ253" s="92"/>
      <c r="BA253" s="92"/>
      <c r="BB253" s="92"/>
    </row>
    <row r="254" spans="1:54" s="26" customFormat="1">
      <c r="A254" s="132"/>
      <c r="B254" s="133"/>
      <c r="C254" s="134"/>
      <c r="D254" s="134"/>
      <c r="AQ254" s="92"/>
      <c r="AR254" s="92"/>
      <c r="AS254" s="92"/>
      <c r="AT254" s="92"/>
      <c r="AU254" s="92"/>
      <c r="AV254" s="92"/>
      <c r="AW254" s="92"/>
      <c r="AX254" s="92"/>
      <c r="AY254" s="92"/>
      <c r="AZ254" s="92"/>
      <c r="BA254" s="92"/>
      <c r="BB254" s="92"/>
    </row>
    <row r="255" spans="1:54" s="26" customFormat="1">
      <c r="A255" s="132"/>
      <c r="B255" s="133"/>
      <c r="C255" s="134"/>
      <c r="D255" s="134"/>
      <c r="AQ255" s="92"/>
      <c r="AR255" s="92"/>
      <c r="AS255" s="92"/>
      <c r="AT255" s="92"/>
      <c r="AU255" s="92"/>
      <c r="AV255" s="92"/>
      <c r="AW255" s="92"/>
      <c r="AX255" s="92"/>
      <c r="AY255" s="92"/>
      <c r="AZ255" s="92"/>
      <c r="BA255" s="92"/>
      <c r="BB255" s="92"/>
    </row>
    <row r="256" spans="1:54" s="26" customFormat="1">
      <c r="A256" s="132"/>
      <c r="B256" s="133"/>
      <c r="C256" s="134"/>
      <c r="D256" s="134"/>
      <c r="AQ256" s="92"/>
      <c r="AR256" s="92"/>
      <c r="AS256" s="92"/>
      <c r="AT256" s="92"/>
      <c r="AU256" s="92"/>
      <c r="AV256" s="92"/>
      <c r="AW256" s="92"/>
      <c r="AX256" s="92"/>
      <c r="AY256" s="92"/>
      <c r="AZ256" s="92"/>
      <c r="BA256" s="92"/>
      <c r="BB256" s="92"/>
    </row>
    <row r="257" spans="1:54" s="26" customFormat="1">
      <c r="A257" s="132"/>
      <c r="B257" s="133"/>
      <c r="C257" s="134"/>
      <c r="D257" s="134"/>
      <c r="AQ257" s="92"/>
      <c r="AR257" s="92"/>
      <c r="AS257" s="92"/>
      <c r="AT257" s="92"/>
      <c r="AU257" s="92"/>
      <c r="AV257" s="92"/>
      <c r="AW257" s="92"/>
      <c r="AX257" s="92"/>
      <c r="AY257" s="92"/>
      <c r="AZ257" s="92"/>
      <c r="BA257" s="92"/>
      <c r="BB257" s="92"/>
    </row>
    <row r="258" spans="1:54" s="26" customFormat="1">
      <c r="A258" s="132"/>
      <c r="B258" s="133"/>
      <c r="C258" s="134"/>
      <c r="D258" s="134"/>
      <c r="AQ258" s="92"/>
      <c r="AR258" s="92"/>
      <c r="AS258" s="92"/>
      <c r="AT258" s="92"/>
      <c r="AU258" s="92"/>
      <c r="AV258" s="92"/>
      <c r="AW258" s="92"/>
      <c r="AX258" s="92"/>
      <c r="AY258" s="92"/>
      <c r="AZ258" s="92"/>
      <c r="BA258" s="92"/>
      <c r="BB258" s="92"/>
    </row>
    <row r="259" spans="1:54" s="26" customFormat="1">
      <c r="A259" s="132"/>
      <c r="B259" s="133"/>
      <c r="C259" s="134"/>
      <c r="D259" s="134"/>
      <c r="AQ259" s="92"/>
      <c r="AR259" s="92"/>
      <c r="AS259" s="92"/>
      <c r="AT259" s="92"/>
      <c r="AU259" s="92"/>
      <c r="AV259" s="92"/>
      <c r="AW259" s="92"/>
      <c r="AX259" s="92"/>
      <c r="AY259" s="92"/>
      <c r="AZ259" s="92"/>
      <c r="BA259" s="92"/>
      <c r="BB259" s="92"/>
    </row>
    <row r="260" spans="1:54" s="26" customFormat="1">
      <c r="A260" s="132"/>
      <c r="B260" s="133"/>
      <c r="C260" s="134"/>
      <c r="D260" s="134"/>
      <c r="AQ260" s="92"/>
      <c r="AR260" s="92"/>
      <c r="AS260" s="92"/>
      <c r="AT260" s="92"/>
      <c r="AU260" s="92"/>
      <c r="AV260" s="92"/>
      <c r="AW260" s="92"/>
      <c r="AX260" s="92"/>
      <c r="AY260" s="92"/>
      <c r="AZ260" s="92"/>
      <c r="BA260" s="92"/>
      <c r="BB260" s="92"/>
    </row>
    <row r="261" spans="1:54" s="26" customFormat="1">
      <c r="A261" s="132"/>
      <c r="B261" s="133"/>
      <c r="C261" s="134"/>
      <c r="D261" s="134"/>
      <c r="AQ261" s="92"/>
      <c r="AR261" s="92"/>
      <c r="AS261" s="92"/>
      <c r="AT261" s="92"/>
      <c r="AU261" s="92"/>
      <c r="AV261" s="92"/>
      <c r="AW261" s="92"/>
      <c r="AX261" s="92"/>
      <c r="AY261" s="92"/>
      <c r="AZ261" s="92"/>
      <c r="BA261" s="92"/>
      <c r="BB261" s="92"/>
    </row>
    <row r="262" spans="1:54" s="26" customFormat="1">
      <c r="A262" s="132"/>
      <c r="B262" s="133"/>
      <c r="C262" s="134"/>
      <c r="D262" s="134"/>
      <c r="AQ262" s="92"/>
      <c r="AR262" s="92"/>
      <c r="AS262" s="92"/>
      <c r="AT262" s="92"/>
      <c r="AU262" s="92"/>
      <c r="AV262" s="92"/>
      <c r="AW262" s="92"/>
      <c r="AX262" s="92"/>
      <c r="AY262" s="92"/>
      <c r="AZ262" s="92"/>
      <c r="BA262" s="92"/>
      <c r="BB262" s="92"/>
    </row>
    <row r="263" spans="1:54" s="26" customFormat="1">
      <c r="A263" s="132"/>
      <c r="B263" s="133"/>
      <c r="C263" s="134"/>
      <c r="D263" s="134"/>
      <c r="AQ263" s="92"/>
      <c r="AR263" s="92"/>
      <c r="AS263" s="92"/>
      <c r="AT263" s="92"/>
      <c r="AU263" s="92"/>
      <c r="AV263" s="92"/>
      <c r="AW263" s="92"/>
      <c r="AX263" s="92"/>
      <c r="AY263" s="92"/>
      <c r="AZ263" s="92"/>
      <c r="BA263" s="92"/>
      <c r="BB263" s="92"/>
    </row>
    <row r="264" spans="1:54" s="26" customFormat="1">
      <c r="A264" s="132"/>
      <c r="B264" s="133"/>
      <c r="C264" s="134"/>
      <c r="D264" s="134"/>
      <c r="AQ264" s="92"/>
      <c r="AR264" s="92"/>
      <c r="AS264" s="92"/>
      <c r="AT264" s="92"/>
      <c r="AU264" s="92"/>
      <c r="AV264" s="92"/>
      <c r="AW264" s="92"/>
      <c r="AX264" s="92"/>
      <c r="AY264" s="92"/>
      <c r="AZ264" s="92"/>
      <c r="BA264" s="92"/>
      <c r="BB264" s="92"/>
    </row>
    <row r="265" spans="1:54" s="26" customFormat="1">
      <c r="A265" s="132"/>
      <c r="B265" s="133"/>
      <c r="C265" s="134"/>
      <c r="D265" s="134"/>
      <c r="AQ265" s="92"/>
      <c r="AR265" s="92"/>
      <c r="AS265" s="92"/>
      <c r="AT265" s="92"/>
      <c r="AU265" s="92"/>
      <c r="AV265" s="92"/>
      <c r="AW265" s="92"/>
      <c r="AX265" s="92"/>
      <c r="AY265" s="92"/>
      <c r="AZ265" s="92"/>
      <c r="BA265" s="92"/>
      <c r="BB265" s="92"/>
    </row>
    <row r="266" spans="1:54" s="26" customFormat="1">
      <c r="A266" s="132"/>
      <c r="B266" s="133"/>
      <c r="C266" s="134"/>
      <c r="D266" s="134"/>
      <c r="AQ266" s="92"/>
      <c r="AR266" s="92"/>
      <c r="AS266" s="92"/>
      <c r="AT266" s="92"/>
      <c r="AU266" s="92"/>
      <c r="AV266" s="92"/>
      <c r="AW266" s="92"/>
      <c r="AX266" s="92"/>
      <c r="AY266" s="92"/>
      <c r="AZ266" s="92"/>
      <c r="BA266" s="92"/>
      <c r="BB266" s="92"/>
    </row>
    <row r="267" spans="1:54" s="26" customFormat="1">
      <c r="A267" s="132"/>
      <c r="B267" s="133"/>
      <c r="C267" s="134"/>
      <c r="D267" s="134"/>
      <c r="AQ267" s="92"/>
      <c r="AR267" s="92"/>
      <c r="AS267" s="92"/>
      <c r="AT267" s="92"/>
      <c r="AU267" s="92"/>
      <c r="AV267" s="92"/>
      <c r="AW267" s="92"/>
      <c r="AX267" s="92"/>
      <c r="AY267" s="92"/>
      <c r="AZ267" s="92"/>
      <c r="BA267" s="92"/>
      <c r="BB267" s="92"/>
    </row>
    <row r="268" spans="1:54" s="26" customFormat="1">
      <c r="A268" s="132"/>
      <c r="B268" s="133"/>
      <c r="C268" s="134"/>
      <c r="D268" s="134"/>
      <c r="AQ268" s="92"/>
      <c r="AR268" s="92"/>
      <c r="AS268" s="92"/>
      <c r="AT268" s="92"/>
      <c r="AU268" s="92"/>
      <c r="AV268" s="92"/>
      <c r="AW268" s="92"/>
      <c r="AX268" s="92"/>
      <c r="AY268" s="92"/>
      <c r="AZ268" s="92"/>
      <c r="BA268" s="92"/>
      <c r="BB268" s="92"/>
    </row>
    <row r="269" spans="1:54" s="26" customFormat="1">
      <c r="A269" s="132"/>
      <c r="B269" s="133"/>
      <c r="C269" s="134"/>
      <c r="D269" s="134"/>
      <c r="AQ269" s="92"/>
      <c r="AR269" s="92"/>
      <c r="AS269" s="92"/>
      <c r="AT269" s="92"/>
      <c r="AU269" s="92"/>
      <c r="AV269" s="92"/>
      <c r="AW269" s="92"/>
      <c r="AX269" s="92"/>
      <c r="AY269" s="92"/>
      <c r="AZ269" s="92"/>
      <c r="BA269" s="92"/>
      <c r="BB269" s="92"/>
    </row>
    <row r="270" spans="1:54" s="26" customFormat="1">
      <c r="A270" s="132"/>
      <c r="B270" s="133"/>
      <c r="C270" s="134"/>
      <c r="D270" s="134"/>
      <c r="AQ270" s="92"/>
      <c r="AR270" s="92"/>
      <c r="AS270" s="92"/>
      <c r="AT270" s="92"/>
      <c r="AU270" s="92"/>
      <c r="AV270" s="92"/>
      <c r="AW270" s="92"/>
      <c r="AX270" s="92"/>
      <c r="AY270" s="92"/>
      <c r="AZ270" s="92"/>
      <c r="BA270" s="92"/>
      <c r="BB270" s="92"/>
    </row>
    <row r="271" spans="1:54" s="26" customFormat="1">
      <c r="A271" s="132"/>
      <c r="B271" s="133"/>
      <c r="C271" s="134"/>
      <c r="D271" s="134"/>
      <c r="AQ271" s="92"/>
      <c r="AR271" s="92"/>
      <c r="AS271" s="92"/>
      <c r="AT271" s="92"/>
      <c r="AU271" s="92"/>
      <c r="AV271" s="92"/>
      <c r="AW271" s="92"/>
      <c r="AX271" s="92"/>
      <c r="AY271" s="92"/>
      <c r="AZ271" s="92"/>
      <c r="BA271" s="92"/>
      <c r="BB271" s="92"/>
    </row>
    <row r="272" spans="1:54" s="26" customFormat="1">
      <c r="A272" s="132"/>
      <c r="B272" s="133"/>
      <c r="C272" s="134"/>
      <c r="D272" s="134"/>
      <c r="AQ272" s="92"/>
      <c r="AR272" s="92"/>
      <c r="AS272" s="92"/>
      <c r="AT272" s="92"/>
      <c r="AU272" s="92"/>
      <c r="AV272" s="92"/>
      <c r="AW272" s="92"/>
      <c r="AX272" s="92"/>
      <c r="AY272" s="92"/>
      <c r="AZ272" s="92"/>
      <c r="BA272" s="92"/>
      <c r="BB272" s="92"/>
    </row>
    <row r="273" spans="1:54" s="26" customFormat="1">
      <c r="A273" s="132"/>
      <c r="B273" s="133"/>
      <c r="C273" s="134"/>
      <c r="D273" s="134"/>
      <c r="AQ273" s="92"/>
      <c r="AR273" s="92"/>
      <c r="AS273" s="92"/>
      <c r="AT273" s="92"/>
      <c r="AU273" s="92"/>
      <c r="AV273" s="92"/>
      <c r="AW273" s="92"/>
      <c r="AX273" s="92"/>
      <c r="AY273" s="92"/>
      <c r="AZ273" s="92"/>
      <c r="BA273" s="92"/>
      <c r="BB273" s="92"/>
    </row>
    <row r="274" spans="1:54" s="26" customFormat="1">
      <c r="A274" s="132"/>
      <c r="B274" s="133"/>
      <c r="C274" s="134"/>
      <c r="D274" s="134"/>
      <c r="AQ274" s="92"/>
      <c r="AR274" s="92"/>
      <c r="AS274" s="92"/>
      <c r="AT274" s="92"/>
      <c r="AU274" s="92"/>
      <c r="AV274" s="92"/>
      <c r="AW274" s="92"/>
      <c r="AX274" s="92"/>
      <c r="AY274" s="92"/>
      <c r="AZ274" s="92"/>
      <c r="BA274" s="92"/>
      <c r="BB274" s="92"/>
    </row>
    <row r="275" spans="1:54" s="26" customFormat="1">
      <c r="A275" s="132"/>
      <c r="B275" s="133"/>
      <c r="C275" s="134"/>
      <c r="D275" s="134"/>
      <c r="AQ275" s="92"/>
      <c r="AR275" s="92"/>
      <c r="AS275" s="92"/>
      <c r="AT275" s="92"/>
      <c r="AU275" s="92"/>
      <c r="AV275" s="92"/>
      <c r="AW275" s="92"/>
      <c r="AX275" s="92"/>
      <c r="AY275" s="92"/>
      <c r="AZ275" s="92"/>
      <c r="BA275" s="92"/>
      <c r="BB275" s="92"/>
    </row>
    <row r="276" spans="1:54" s="26" customFormat="1">
      <c r="A276" s="132"/>
      <c r="B276" s="133"/>
      <c r="C276" s="134"/>
      <c r="D276" s="134"/>
      <c r="AQ276" s="92"/>
      <c r="AR276" s="92"/>
      <c r="AS276" s="92"/>
      <c r="AT276" s="92"/>
      <c r="AU276" s="92"/>
      <c r="AV276" s="92"/>
      <c r="AW276" s="92"/>
      <c r="AX276" s="92"/>
      <c r="AY276" s="92"/>
      <c r="AZ276" s="92"/>
      <c r="BA276" s="92"/>
      <c r="BB276" s="92"/>
    </row>
    <row r="277" spans="1:54" s="26" customFormat="1">
      <c r="A277" s="132"/>
      <c r="B277" s="133"/>
      <c r="C277" s="134"/>
      <c r="D277" s="134"/>
      <c r="AQ277" s="92"/>
      <c r="AR277" s="92"/>
      <c r="AS277" s="92"/>
      <c r="AT277" s="92"/>
      <c r="AU277" s="92"/>
      <c r="AV277" s="92"/>
      <c r="AW277" s="92"/>
      <c r="AX277" s="92"/>
      <c r="AY277" s="92"/>
      <c r="AZ277" s="92"/>
      <c r="BA277" s="92"/>
      <c r="BB277" s="92"/>
    </row>
    <row r="278" spans="1:54" s="26" customFormat="1">
      <c r="A278" s="132"/>
      <c r="B278" s="133"/>
      <c r="C278" s="134"/>
      <c r="D278" s="134"/>
      <c r="AQ278" s="92"/>
      <c r="AR278" s="92"/>
      <c r="AS278" s="92"/>
      <c r="AT278" s="92"/>
      <c r="AU278" s="92"/>
      <c r="AV278" s="92"/>
      <c r="AW278" s="92"/>
      <c r="AX278" s="92"/>
      <c r="AY278" s="92"/>
      <c r="AZ278" s="92"/>
      <c r="BA278" s="92"/>
      <c r="BB278" s="92"/>
    </row>
    <row r="279" spans="1:54" s="26" customFormat="1">
      <c r="A279" s="132"/>
      <c r="B279" s="133"/>
      <c r="C279" s="134"/>
      <c r="D279" s="134"/>
      <c r="AQ279" s="92"/>
      <c r="AR279" s="92"/>
      <c r="AS279" s="92"/>
      <c r="AT279" s="92"/>
      <c r="AU279" s="92"/>
      <c r="AV279" s="92"/>
      <c r="AW279" s="92"/>
      <c r="AX279" s="92"/>
      <c r="AY279" s="92"/>
      <c r="AZ279" s="92"/>
      <c r="BA279" s="92"/>
      <c r="BB279" s="92"/>
    </row>
    <row r="280" spans="1:54" s="26" customFormat="1">
      <c r="A280" s="132"/>
      <c r="B280" s="133"/>
      <c r="C280" s="134"/>
      <c r="D280" s="134"/>
      <c r="AQ280" s="92"/>
      <c r="AR280" s="92"/>
      <c r="AS280" s="92"/>
      <c r="AT280" s="92"/>
      <c r="AU280" s="92"/>
      <c r="AV280" s="92"/>
      <c r="AW280" s="92"/>
      <c r="AX280" s="92"/>
      <c r="AY280" s="92"/>
      <c r="AZ280" s="92"/>
      <c r="BA280" s="92"/>
      <c r="BB280" s="92"/>
    </row>
    <row r="281" spans="1:54" s="26" customFormat="1">
      <c r="A281" s="132"/>
      <c r="B281" s="133"/>
      <c r="C281" s="134"/>
      <c r="D281" s="134"/>
      <c r="AQ281" s="92"/>
      <c r="AR281" s="92"/>
      <c r="AS281" s="92"/>
      <c r="AT281" s="92"/>
      <c r="AU281" s="92"/>
      <c r="AV281" s="92"/>
      <c r="AW281" s="92"/>
      <c r="AX281" s="92"/>
      <c r="AY281" s="92"/>
      <c r="AZ281" s="92"/>
      <c r="BA281" s="92"/>
      <c r="BB281" s="92"/>
    </row>
    <row r="282" spans="1:54" s="26" customFormat="1">
      <c r="A282" s="132"/>
      <c r="B282" s="133"/>
      <c r="C282" s="134"/>
      <c r="D282" s="134"/>
      <c r="AQ282" s="92"/>
      <c r="AR282" s="92"/>
      <c r="AS282" s="92"/>
      <c r="AT282" s="92"/>
      <c r="AU282" s="92"/>
      <c r="AV282" s="92"/>
      <c r="AW282" s="92"/>
      <c r="AX282" s="92"/>
      <c r="AY282" s="92"/>
      <c r="AZ282" s="92"/>
      <c r="BA282" s="92"/>
      <c r="BB282" s="92"/>
    </row>
    <row r="283" spans="1:54" s="26" customFormat="1">
      <c r="A283" s="132"/>
      <c r="B283" s="133"/>
      <c r="C283" s="134"/>
      <c r="D283" s="134"/>
      <c r="AQ283" s="92"/>
      <c r="AR283" s="92"/>
      <c r="AS283" s="92"/>
      <c r="AT283" s="92"/>
      <c r="AU283" s="92"/>
      <c r="AV283" s="92"/>
      <c r="AW283" s="92"/>
      <c r="AX283" s="92"/>
      <c r="AY283" s="92"/>
      <c r="AZ283" s="92"/>
      <c r="BA283" s="92"/>
      <c r="BB283" s="92"/>
    </row>
    <row r="284" spans="1:54" s="26" customFormat="1">
      <c r="A284" s="132"/>
      <c r="B284" s="133"/>
      <c r="C284" s="134"/>
      <c r="D284" s="134"/>
      <c r="AQ284" s="92"/>
      <c r="AR284" s="92"/>
      <c r="AS284" s="92"/>
      <c r="AT284" s="92"/>
      <c r="AU284" s="92"/>
      <c r="AV284" s="92"/>
      <c r="AW284" s="92"/>
      <c r="AX284" s="92"/>
      <c r="AY284" s="92"/>
      <c r="AZ284" s="92"/>
      <c r="BA284" s="92"/>
      <c r="BB284" s="92"/>
    </row>
    <row r="285" spans="1:54" s="26" customFormat="1">
      <c r="A285" s="132"/>
      <c r="B285" s="133"/>
      <c r="C285" s="134"/>
      <c r="D285" s="134"/>
      <c r="AQ285" s="92"/>
      <c r="AR285" s="92"/>
      <c r="AS285" s="92"/>
      <c r="AT285" s="92"/>
      <c r="AU285" s="92"/>
      <c r="AV285" s="92"/>
      <c r="AW285" s="92"/>
      <c r="AX285" s="92"/>
      <c r="AY285" s="92"/>
      <c r="AZ285" s="92"/>
      <c r="BA285" s="92"/>
      <c r="BB285" s="92"/>
    </row>
    <row r="286" spans="1:54" s="26" customFormat="1">
      <c r="A286" s="132"/>
      <c r="B286" s="133"/>
      <c r="C286" s="134"/>
      <c r="D286" s="134"/>
      <c r="AQ286" s="92"/>
      <c r="AR286" s="92"/>
      <c r="AS286" s="92"/>
      <c r="AT286" s="92"/>
      <c r="AU286" s="92"/>
      <c r="AV286" s="92"/>
      <c r="AW286" s="92"/>
      <c r="AX286" s="92"/>
      <c r="AY286" s="92"/>
      <c r="AZ286" s="92"/>
      <c r="BA286" s="92"/>
      <c r="BB286" s="92"/>
    </row>
    <row r="287" spans="1:54" s="26" customFormat="1">
      <c r="A287" s="132"/>
      <c r="B287" s="133"/>
      <c r="C287" s="134"/>
      <c r="D287" s="134"/>
      <c r="AQ287" s="92"/>
      <c r="AR287" s="92"/>
      <c r="AS287" s="92"/>
      <c r="AT287" s="92"/>
      <c r="AU287" s="92"/>
      <c r="AV287" s="92"/>
      <c r="AW287" s="92"/>
      <c r="AX287" s="92"/>
      <c r="AY287" s="92"/>
      <c r="AZ287" s="92"/>
      <c r="BA287" s="92"/>
      <c r="BB287" s="92"/>
    </row>
    <row r="288" spans="1:54" s="26" customFormat="1">
      <c r="A288" s="132"/>
      <c r="B288" s="133"/>
      <c r="C288" s="134"/>
      <c r="D288" s="134"/>
      <c r="AQ288" s="92"/>
      <c r="AR288" s="92"/>
      <c r="AS288" s="92"/>
      <c r="AT288" s="92"/>
      <c r="AU288" s="92"/>
      <c r="AV288" s="92"/>
      <c r="AW288" s="92"/>
      <c r="AX288" s="92"/>
      <c r="AY288" s="92"/>
      <c r="AZ288" s="92"/>
      <c r="BA288" s="92"/>
      <c r="BB288" s="92"/>
    </row>
    <row r="289" spans="1:54" s="26" customFormat="1">
      <c r="A289" s="132"/>
      <c r="B289" s="133"/>
      <c r="C289" s="134"/>
      <c r="D289" s="134"/>
      <c r="AQ289" s="92"/>
      <c r="AR289" s="92"/>
      <c r="AS289" s="92"/>
      <c r="AT289" s="92"/>
      <c r="AU289" s="92"/>
      <c r="AV289" s="92"/>
      <c r="AW289" s="92"/>
      <c r="AX289" s="92"/>
      <c r="AY289" s="92"/>
      <c r="AZ289" s="92"/>
      <c r="BA289" s="92"/>
      <c r="BB289" s="92"/>
    </row>
    <row r="290" spans="1:54" s="26" customFormat="1">
      <c r="A290" s="132"/>
      <c r="B290" s="133"/>
      <c r="C290" s="134"/>
      <c r="D290" s="134"/>
      <c r="AQ290" s="92"/>
      <c r="AR290" s="92"/>
      <c r="AS290" s="92"/>
      <c r="AT290" s="92"/>
      <c r="AU290" s="92"/>
      <c r="AV290" s="92"/>
      <c r="AW290" s="92"/>
      <c r="AX290" s="92"/>
      <c r="AY290" s="92"/>
      <c r="AZ290" s="92"/>
      <c r="BA290" s="92"/>
      <c r="BB290" s="92"/>
    </row>
    <row r="291" spans="1:54" s="26" customFormat="1">
      <c r="A291" s="132"/>
      <c r="B291" s="133"/>
      <c r="C291" s="134"/>
      <c r="D291" s="134"/>
      <c r="AQ291" s="92"/>
      <c r="AR291" s="92"/>
      <c r="AS291" s="92"/>
      <c r="AT291" s="92"/>
      <c r="AU291" s="92"/>
      <c r="AV291" s="92"/>
      <c r="AW291" s="92"/>
      <c r="AX291" s="92"/>
      <c r="AY291" s="92"/>
      <c r="AZ291" s="92"/>
      <c r="BA291" s="92"/>
      <c r="BB291" s="92"/>
    </row>
    <row r="292" spans="1:54" s="26" customFormat="1">
      <c r="A292" s="132"/>
      <c r="B292" s="133"/>
      <c r="C292" s="134"/>
      <c r="D292" s="134"/>
      <c r="AQ292" s="92"/>
      <c r="AR292" s="92"/>
      <c r="AS292" s="92"/>
      <c r="AT292" s="92"/>
      <c r="AU292" s="92"/>
      <c r="AV292" s="92"/>
      <c r="AW292" s="92"/>
      <c r="AX292" s="92"/>
      <c r="AY292" s="92"/>
      <c r="AZ292" s="92"/>
      <c r="BA292" s="92"/>
      <c r="BB292" s="92"/>
    </row>
    <row r="293" spans="1:54" s="26" customFormat="1">
      <c r="A293" s="132"/>
      <c r="B293" s="133"/>
      <c r="C293" s="134"/>
      <c r="D293" s="134"/>
      <c r="AQ293" s="92"/>
      <c r="AR293" s="92"/>
      <c r="AS293" s="92"/>
      <c r="AT293" s="92"/>
      <c r="AU293" s="92"/>
      <c r="AV293" s="92"/>
      <c r="AW293" s="92"/>
      <c r="AX293" s="92"/>
      <c r="AY293" s="92"/>
      <c r="AZ293" s="92"/>
      <c r="BA293" s="92"/>
      <c r="BB293" s="92"/>
    </row>
    <row r="294" spans="1:54" s="26" customFormat="1">
      <c r="A294" s="132"/>
      <c r="B294" s="133"/>
      <c r="C294" s="134"/>
      <c r="D294" s="134"/>
      <c r="AQ294" s="92"/>
      <c r="AR294" s="92"/>
      <c r="AS294" s="92"/>
      <c r="AT294" s="92"/>
      <c r="AU294" s="92"/>
      <c r="AV294" s="92"/>
      <c r="AW294" s="92"/>
      <c r="AX294" s="92"/>
      <c r="AY294" s="92"/>
      <c r="AZ294" s="92"/>
      <c r="BA294" s="92"/>
      <c r="BB294" s="92"/>
    </row>
    <row r="295" spans="1:54" s="26" customFormat="1">
      <c r="A295" s="132"/>
      <c r="B295" s="133"/>
      <c r="C295" s="134"/>
      <c r="D295" s="134"/>
      <c r="AQ295" s="92"/>
      <c r="AR295" s="92"/>
      <c r="AS295" s="92"/>
      <c r="AT295" s="92"/>
      <c r="AU295" s="92"/>
      <c r="AV295" s="92"/>
      <c r="AW295" s="92"/>
      <c r="AX295" s="92"/>
      <c r="AY295" s="92"/>
      <c r="AZ295" s="92"/>
      <c r="BA295" s="92"/>
      <c r="BB295" s="92"/>
    </row>
    <row r="296" spans="1:54" s="26" customFormat="1">
      <c r="A296" s="132"/>
      <c r="B296" s="133"/>
      <c r="C296" s="134"/>
      <c r="D296" s="134"/>
      <c r="AQ296" s="92"/>
      <c r="AR296" s="92"/>
      <c r="AS296" s="92"/>
      <c r="AT296" s="92"/>
      <c r="AU296" s="92"/>
      <c r="AV296" s="92"/>
      <c r="AW296" s="92"/>
      <c r="AX296" s="92"/>
      <c r="AY296" s="92"/>
      <c r="AZ296" s="92"/>
      <c r="BA296" s="92"/>
      <c r="BB296" s="92"/>
    </row>
    <row r="297" spans="1:54" s="26" customFormat="1">
      <c r="A297" s="132"/>
      <c r="B297" s="133"/>
      <c r="C297" s="134"/>
      <c r="D297" s="134"/>
      <c r="AQ297" s="92"/>
      <c r="AR297" s="92"/>
      <c r="AS297" s="92"/>
      <c r="AT297" s="92"/>
      <c r="AU297" s="92"/>
      <c r="AV297" s="92"/>
      <c r="AW297" s="92"/>
      <c r="AX297" s="92"/>
      <c r="AY297" s="92"/>
      <c r="AZ297" s="92"/>
      <c r="BA297" s="92"/>
      <c r="BB297" s="92"/>
    </row>
    <row r="298" spans="1:54" s="26" customFormat="1">
      <c r="A298" s="132"/>
      <c r="B298" s="133"/>
      <c r="C298" s="134"/>
      <c r="D298" s="134"/>
      <c r="AQ298" s="92"/>
      <c r="AR298" s="92"/>
      <c r="AS298" s="92"/>
      <c r="AT298" s="92"/>
      <c r="AU298" s="92"/>
      <c r="AV298" s="92"/>
      <c r="AW298" s="92"/>
      <c r="AX298" s="92"/>
      <c r="AY298" s="92"/>
      <c r="AZ298" s="92"/>
      <c r="BA298" s="92"/>
      <c r="BB298" s="92"/>
    </row>
    <row r="299" spans="1:54" s="26" customFormat="1">
      <c r="A299" s="132"/>
      <c r="B299" s="133"/>
      <c r="C299" s="134"/>
      <c r="D299" s="134"/>
      <c r="AQ299" s="92"/>
      <c r="AR299" s="92"/>
      <c r="AS299" s="92"/>
      <c r="AT299" s="92"/>
      <c r="AU299" s="92"/>
      <c r="AV299" s="92"/>
      <c r="AW299" s="92"/>
      <c r="AX299" s="92"/>
      <c r="AY299" s="92"/>
      <c r="AZ299" s="92"/>
      <c r="BA299" s="92"/>
      <c r="BB299" s="92"/>
    </row>
    <row r="300" spans="1:54" s="26" customFormat="1">
      <c r="A300" s="132"/>
      <c r="B300" s="133"/>
      <c r="C300" s="134"/>
      <c r="D300" s="134"/>
      <c r="AQ300" s="92"/>
      <c r="AR300" s="92"/>
      <c r="AS300" s="92"/>
      <c r="AT300" s="92"/>
      <c r="AU300" s="92"/>
      <c r="AV300" s="92"/>
      <c r="AW300" s="92"/>
      <c r="AX300" s="92"/>
      <c r="AY300" s="92"/>
      <c r="AZ300" s="92"/>
      <c r="BA300" s="92"/>
      <c r="BB300" s="92"/>
    </row>
    <row r="301" spans="1:54" s="26" customFormat="1">
      <c r="A301" s="132"/>
      <c r="B301" s="133"/>
      <c r="C301" s="134"/>
      <c r="D301" s="134"/>
      <c r="AQ301" s="92"/>
      <c r="AR301" s="92"/>
      <c r="AS301" s="92"/>
      <c r="AT301" s="92"/>
      <c r="AU301" s="92"/>
      <c r="AV301" s="92"/>
      <c r="AW301" s="92"/>
      <c r="AX301" s="92"/>
      <c r="AY301" s="92"/>
      <c r="AZ301" s="92"/>
      <c r="BA301" s="92"/>
      <c r="BB301" s="92"/>
    </row>
    <row r="302" spans="1:54" s="26" customFormat="1">
      <c r="A302" s="132"/>
      <c r="B302" s="133"/>
      <c r="C302" s="134"/>
      <c r="D302" s="134"/>
      <c r="AQ302" s="92"/>
      <c r="AR302" s="92"/>
      <c r="AS302" s="92"/>
      <c r="AT302" s="92"/>
      <c r="AU302" s="92"/>
      <c r="AV302" s="92"/>
      <c r="AW302" s="92"/>
      <c r="AX302" s="92"/>
      <c r="AY302" s="92"/>
      <c r="AZ302" s="92"/>
      <c r="BA302" s="92"/>
      <c r="BB302" s="92"/>
    </row>
    <row r="303" spans="1:54" s="26" customFormat="1">
      <c r="A303" s="132"/>
      <c r="B303" s="133"/>
      <c r="C303" s="134"/>
      <c r="D303" s="134"/>
      <c r="AQ303" s="92"/>
      <c r="AR303" s="92"/>
      <c r="AS303" s="92"/>
      <c r="AT303" s="92"/>
      <c r="AU303" s="92"/>
      <c r="AV303" s="92"/>
      <c r="AW303" s="92"/>
      <c r="AX303" s="92"/>
      <c r="AY303" s="92"/>
      <c r="AZ303" s="92"/>
      <c r="BA303" s="92"/>
      <c r="BB303" s="92"/>
    </row>
    <row r="304" spans="1:54" s="26" customFormat="1">
      <c r="A304" s="132"/>
      <c r="B304" s="133"/>
      <c r="C304" s="134"/>
      <c r="D304" s="134"/>
      <c r="AQ304" s="92"/>
      <c r="AR304" s="92"/>
      <c r="AS304" s="92"/>
      <c r="AT304" s="92"/>
      <c r="AU304" s="92"/>
      <c r="AV304" s="92"/>
      <c r="AW304" s="92"/>
      <c r="AX304" s="92"/>
      <c r="AY304" s="92"/>
      <c r="AZ304" s="92"/>
      <c r="BA304" s="92"/>
      <c r="BB304" s="92"/>
    </row>
    <row r="305" spans="1:54" s="26" customFormat="1">
      <c r="A305" s="132"/>
      <c r="B305" s="133"/>
      <c r="C305" s="134"/>
      <c r="D305" s="134"/>
      <c r="AQ305" s="92"/>
      <c r="AR305" s="92"/>
      <c r="AS305" s="92"/>
      <c r="AT305" s="92"/>
      <c r="AU305" s="92"/>
      <c r="AV305" s="92"/>
      <c r="AW305" s="92"/>
      <c r="AX305" s="92"/>
      <c r="AY305" s="92"/>
      <c r="AZ305" s="92"/>
      <c r="BA305" s="92"/>
      <c r="BB305" s="92"/>
    </row>
    <row r="306" spans="1:54" s="26" customFormat="1">
      <c r="A306" s="132"/>
      <c r="B306" s="133"/>
      <c r="C306" s="134"/>
      <c r="D306" s="134"/>
      <c r="AQ306" s="92"/>
      <c r="AR306" s="92"/>
      <c r="AS306" s="92"/>
      <c r="AT306" s="92"/>
      <c r="AU306" s="92"/>
      <c r="AV306" s="92"/>
      <c r="AW306" s="92"/>
      <c r="AX306" s="92"/>
      <c r="AY306" s="92"/>
      <c r="AZ306" s="92"/>
      <c r="BA306" s="92"/>
      <c r="BB306" s="92"/>
    </row>
    <row r="307" spans="1:54" s="26" customFormat="1">
      <c r="A307" s="132"/>
      <c r="B307" s="133"/>
      <c r="C307" s="134"/>
      <c r="D307" s="134"/>
      <c r="AQ307" s="92"/>
      <c r="AR307" s="92"/>
      <c r="AS307" s="92"/>
      <c r="AT307" s="92"/>
      <c r="AU307" s="92"/>
      <c r="AV307" s="92"/>
      <c r="AW307" s="92"/>
      <c r="AX307" s="92"/>
      <c r="AY307" s="92"/>
      <c r="AZ307" s="92"/>
      <c r="BA307" s="92"/>
      <c r="BB307" s="92"/>
    </row>
    <row r="308" spans="1:54" s="26" customFormat="1">
      <c r="A308" s="132"/>
      <c r="B308" s="133"/>
      <c r="C308" s="134"/>
      <c r="D308" s="134"/>
      <c r="AQ308" s="92"/>
      <c r="AR308" s="92"/>
      <c r="AS308" s="92"/>
      <c r="AT308" s="92"/>
      <c r="AU308" s="92"/>
      <c r="AV308" s="92"/>
      <c r="AW308" s="92"/>
      <c r="AX308" s="92"/>
      <c r="AY308" s="92"/>
      <c r="AZ308" s="92"/>
      <c r="BA308" s="92"/>
      <c r="BB308" s="92"/>
    </row>
    <row r="309" spans="1:54" s="26" customFormat="1">
      <c r="A309" s="132"/>
      <c r="B309" s="133"/>
      <c r="C309" s="134"/>
      <c r="D309" s="134"/>
      <c r="AQ309" s="92"/>
      <c r="AR309" s="92"/>
      <c r="AS309" s="92"/>
      <c r="AT309" s="92"/>
      <c r="AU309" s="92"/>
      <c r="AV309" s="92"/>
      <c r="AW309" s="92"/>
      <c r="AX309" s="92"/>
      <c r="AY309" s="92"/>
      <c r="AZ309" s="92"/>
      <c r="BA309" s="92"/>
      <c r="BB309" s="92"/>
    </row>
    <row r="310" spans="1:54" s="26" customFormat="1">
      <c r="A310" s="132"/>
      <c r="B310" s="133"/>
      <c r="C310" s="134"/>
      <c r="D310" s="134"/>
      <c r="AQ310" s="92"/>
      <c r="AR310" s="92"/>
      <c r="AS310" s="92"/>
      <c r="AT310" s="92"/>
      <c r="AU310" s="92"/>
      <c r="AV310" s="92"/>
      <c r="AW310" s="92"/>
      <c r="AX310" s="92"/>
      <c r="AY310" s="92"/>
      <c r="AZ310" s="92"/>
      <c r="BA310" s="92"/>
      <c r="BB310" s="92"/>
    </row>
    <row r="311" spans="1:54" s="26" customFormat="1">
      <c r="A311" s="132"/>
      <c r="B311" s="133"/>
      <c r="C311" s="134"/>
      <c r="D311" s="134"/>
      <c r="AQ311" s="92"/>
      <c r="AR311" s="92"/>
      <c r="AS311" s="92"/>
      <c r="AT311" s="92"/>
      <c r="AU311" s="92"/>
      <c r="AV311" s="92"/>
      <c r="AW311" s="92"/>
      <c r="AX311" s="92"/>
      <c r="AY311" s="92"/>
      <c r="AZ311" s="92"/>
      <c r="BA311" s="92"/>
      <c r="BB311" s="92"/>
    </row>
    <row r="312" spans="1:54" s="26" customFormat="1">
      <c r="A312" s="132"/>
      <c r="B312" s="133"/>
      <c r="C312" s="134"/>
      <c r="D312" s="134"/>
      <c r="AQ312" s="92"/>
      <c r="AR312" s="92"/>
      <c r="AS312" s="92"/>
      <c r="AT312" s="92"/>
      <c r="AU312" s="92"/>
      <c r="AV312" s="92"/>
      <c r="AW312" s="92"/>
      <c r="AX312" s="92"/>
      <c r="AY312" s="92"/>
      <c r="AZ312" s="92"/>
      <c r="BA312" s="92"/>
      <c r="BB312" s="92"/>
    </row>
    <row r="313" spans="1:54" s="26" customFormat="1">
      <c r="A313" s="132"/>
      <c r="B313" s="133"/>
      <c r="C313" s="134"/>
      <c r="D313" s="134"/>
      <c r="AQ313" s="92"/>
      <c r="AR313" s="92"/>
      <c r="AS313" s="92"/>
      <c r="AT313" s="92"/>
      <c r="AU313" s="92"/>
      <c r="AV313" s="92"/>
      <c r="AW313" s="92"/>
      <c r="AX313" s="92"/>
      <c r="AY313" s="92"/>
      <c r="AZ313" s="92"/>
      <c r="BA313" s="92"/>
      <c r="BB313" s="92"/>
    </row>
    <row r="314" spans="1:54" s="26" customFormat="1">
      <c r="A314" s="132"/>
      <c r="B314" s="133"/>
      <c r="C314" s="134"/>
      <c r="D314" s="134"/>
      <c r="AQ314" s="92"/>
      <c r="AR314" s="92"/>
      <c r="AS314" s="92"/>
      <c r="AT314" s="92"/>
      <c r="AU314" s="92"/>
      <c r="AV314" s="92"/>
      <c r="AW314" s="92"/>
      <c r="AX314" s="92"/>
      <c r="AY314" s="92"/>
      <c r="AZ314" s="92"/>
      <c r="BA314" s="92"/>
      <c r="BB314" s="92"/>
    </row>
    <row r="315" spans="1:54" s="26" customFormat="1">
      <c r="A315" s="132"/>
      <c r="B315" s="133"/>
      <c r="C315" s="134"/>
      <c r="D315" s="134"/>
      <c r="AQ315" s="92"/>
      <c r="AR315" s="92"/>
      <c r="AS315" s="92"/>
      <c r="AT315" s="92"/>
      <c r="AU315" s="92"/>
      <c r="AV315" s="92"/>
      <c r="AW315" s="92"/>
      <c r="AX315" s="92"/>
      <c r="AY315" s="92"/>
      <c r="AZ315" s="92"/>
      <c r="BA315" s="92"/>
      <c r="BB315" s="92"/>
    </row>
    <row r="316" spans="1:54" s="26" customFormat="1">
      <c r="A316" s="132"/>
      <c r="B316" s="133"/>
      <c r="C316" s="134"/>
      <c r="D316" s="134"/>
      <c r="AQ316" s="92"/>
      <c r="AR316" s="92"/>
      <c r="AS316" s="92"/>
      <c r="AT316" s="92"/>
      <c r="AU316" s="92"/>
      <c r="AV316" s="92"/>
      <c r="AW316" s="92"/>
      <c r="AX316" s="92"/>
      <c r="AY316" s="92"/>
      <c r="AZ316" s="92"/>
      <c r="BA316" s="92"/>
      <c r="BB316" s="92"/>
    </row>
    <row r="317" spans="1:54" s="26" customFormat="1">
      <c r="A317" s="132"/>
      <c r="B317" s="133"/>
      <c r="C317" s="134"/>
      <c r="D317" s="134"/>
      <c r="AQ317" s="92"/>
      <c r="AR317" s="92"/>
      <c r="AS317" s="92"/>
      <c r="AT317" s="92"/>
      <c r="AU317" s="92"/>
      <c r="AV317" s="92"/>
      <c r="AW317" s="92"/>
      <c r="AX317" s="92"/>
      <c r="AY317" s="92"/>
      <c r="AZ317" s="92"/>
      <c r="BA317" s="92"/>
      <c r="BB317" s="92"/>
    </row>
    <row r="318" spans="1:54" s="26" customFormat="1">
      <c r="A318" s="132"/>
      <c r="B318" s="133"/>
      <c r="C318" s="134"/>
      <c r="D318" s="134"/>
      <c r="AQ318" s="92"/>
      <c r="AR318" s="92"/>
      <c r="AS318" s="92"/>
      <c r="AT318" s="92"/>
      <c r="AU318" s="92"/>
      <c r="AV318" s="92"/>
      <c r="AW318" s="92"/>
      <c r="AX318" s="92"/>
      <c r="AY318" s="92"/>
      <c r="AZ318" s="92"/>
      <c r="BA318" s="92"/>
      <c r="BB318" s="92"/>
    </row>
    <row r="319" spans="1:54" s="26" customFormat="1">
      <c r="A319" s="132"/>
      <c r="B319" s="133"/>
      <c r="C319" s="134"/>
      <c r="D319" s="134"/>
      <c r="AQ319" s="92"/>
      <c r="AR319" s="92"/>
      <c r="AS319" s="92"/>
      <c r="AT319" s="92"/>
      <c r="AU319" s="92"/>
      <c r="AV319" s="92"/>
      <c r="AW319" s="92"/>
      <c r="AX319" s="92"/>
      <c r="AY319" s="92"/>
      <c r="AZ319" s="92"/>
      <c r="BA319" s="92"/>
      <c r="BB319" s="92"/>
    </row>
    <row r="320" spans="1:54" s="26" customFormat="1">
      <c r="A320" s="132"/>
      <c r="B320" s="133"/>
      <c r="C320" s="134"/>
      <c r="D320" s="134"/>
      <c r="AQ320" s="92"/>
      <c r="AR320" s="92"/>
      <c r="AS320" s="92"/>
      <c r="AT320" s="92"/>
      <c r="AU320" s="92"/>
      <c r="AV320" s="92"/>
      <c r="AW320" s="92"/>
      <c r="AX320" s="92"/>
      <c r="AY320" s="92"/>
      <c r="AZ320" s="92"/>
      <c r="BA320" s="92"/>
      <c r="BB320" s="92"/>
    </row>
    <row r="321" spans="1:54" s="26" customFormat="1">
      <c r="A321" s="132"/>
      <c r="B321" s="133"/>
      <c r="C321" s="134"/>
      <c r="D321" s="134"/>
      <c r="AQ321" s="92"/>
      <c r="AR321" s="92"/>
      <c r="AS321" s="92"/>
      <c r="AT321" s="92"/>
      <c r="AU321" s="92"/>
      <c r="AV321" s="92"/>
      <c r="AW321" s="92"/>
      <c r="AX321" s="92"/>
      <c r="AY321" s="92"/>
      <c r="AZ321" s="92"/>
      <c r="BA321" s="92"/>
      <c r="BB321" s="92"/>
    </row>
    <row r="322" spans="1:54" s="26" customFormat="1">
      <c r="A322" s="132"/>
      <c r="B322" s="133"/>
      <c r="C322" s="134"/>
      <c r="D322" s="134"/>
      <c r="AQ322" s="92"/>
      <c r="AR322" s="92"/>
      <c r="AS322" s="92"/>
      <c r="AT322" s="92"/>
      <c r="AU322" s="92"/>
      <c r="AV322" s="92"/>
      <c r="AW322" s="92"/>
      <c r="AX322" s="92"/>
      <c r="AY322" s="92"/>
      <c r="AZ322" s="92"/>
      <c r="BA322" s="92"/>
      <c r="BB322" s="92"/>
    </row>
    <row r="323" spans="1:54" s="26" customFormat="1">
      <c r="A323" s="132"/>
      <c r="B323" s="133"/>
      <c r="C323" s="134"/>
      <c r="D323" s="134"/>
      <c r="AQ323" s="92"/>
      <c r="AR323" s="92"/>
      <c r="AS323" s="92"/>
      <c r="AT323" s="92"/>
      <c r="AU323" s="92"/>
      <c r="AV323" s="92"/>
      <c r="AW323" s="92"/>
      <c r="AX323" s="92"/>
      <c r="AY323" s="92"/>
      <c r="AZ323" s="92"/>
      <c r="BA323" s="92"/>
      <c r="BB323" s="92"/>
    </row>
    <row r="324" spans="1:54" s="26" customFormat="1">
      <c r="A324" s="132"/>
      <c r="B324" s="133"/>
      <c r="C324" s="134"/>
      <c r="D324" s="134"/>
      <c r="AQ324" s="92"/>
      <c r="AR324" s="92"/>
      <c r="AS324" s="92"/>
      <c r="AT324" s="92"/>
      <c r="AU324" s="92"/>
      <c r="AV324" s="92"/>
      <c r="AW324" s="92"/>
      <c r="AX324" s="92"/>
      <c r="AY324" s="92"/>
      <c r="AZ324" s="92"/>
      <c r="BA324" s="92"/>
      <c r="BB324" s="92"/>
    </row>
    <row r="325" spans="1:54" s="26" customFormat="1">
      <c r="A325" s="132"/>
      <c r="B325" s="133"/>
      <c r="C325" s="134"/>
      <c r="D325" s="134"/>
      <c r="AQ325" s="92"/>
      <c r="AR325" s="92"/>
      <c r="AS325" s="92"/>
      <c r="AT325" s="92"/>
      <c r="AU325" s="92"/>
      <c r="AV325" s="92"/>
      <c r="AW325" s="92"/>
      <c r="AX325" s="92"/>
      <c r="AY325" s="92"/>
      <c r="AZ325" s="92"/>
      <c r="BA325" s="92"/>
      <c r="BB325" s="92"/>
    </row>
    <row r="326" spans="1:54" s="26" customFormat="1">
      <c r="A326" s="132"/>
      <c r="B326" s="133"/>
      <c r="C326" s="134"/>
      <c r="D326" s="134"/>
      <c r="AQ326" s="92"/>
      <c r="AR326" s="92"/>
      <c r="AS326" s="92"/>
      <c r="AT326" s="92"/>
      <c r="AU326" s="92"/>
      <c r="AV326" s="92"/>
      <c r="AW326" s="92"/>
      <c r="AX326" s="92"/>
      <c r="AY326" s="92"/>
      <c r="AZ326" s="92"/>
      <c r="BA326" s="92"/>
      <c r="BB326" s="92"/>
    </row>
    <row r="327" spans="1:54" s="26" customFormat="1">
      <c r="A327" s="132"/>
      <c r="B327" s="133"/>
      <c r="C327" s="134"/>
      <c r="D327" s="134"/>
      <c r="AQ327" s="92"/>
      <c r="AR327" s="92"/>
      <c r="AS327" s="92"/>
      <c r="AT327" s="92"/>
      <c r="AU327" s="92"/>
      <c r="AV327" s="92"/>
      <c r="AW327" s="92"/>
      <c r="AX327" s="92"/>
      <c r="AY327" s="92"/>
      <c r="AZ327" s="92"/>
      <c r="BA327" s="92"/>
      <c r="BB327" s="92"/>
    </row>
    <row r="328" spans="1:54" s="26" customFormat="1">
      <c r="A328" s="132"/>
      <c r="B328" s="133"/>
      <c r="C328" s="134"/>
      <c r="D328" s="134"/>
      <c r="AQ328" s="92"/>
      <c r="AR328" s="92"/>
      <c r="AS328" s="92"/>
      <c r="AT328" s="92"/>
      <c r="AU328" s="92"/>
      <c r="AV328" s="92"/>
      <c r="AW328" s="92"/>
      <c r="AX328" s="92"/>
      <c r="AY328" s="92"/>
      <c r="AZ328" s="92"/>
      <c r="BA328" s="92"/>
      <c r="BB328" s="92"/>
    </row>
    <row r="329" spans="1:54" s="26" customFormat="1">
      <c r="A329" s="132"/>
      <c r="B329" s="133"/>
      <c r="C329" s="134"/>
      <c r="D329" s="134"/>
      <c r="AQ329" s="92"/>
      <c r="AR329" s="92"/>
      <c r="AS329" s="92"/>
      <c r="AT329" s="92"/>
      <c r="AU329" s="92"/>
      <c r="AV329" s="92"/>
      <c r="AW329" s="92"/>
      <c r="AX329" s="92"/>
      <c r="AY329" s="92"/>
      <c r="AZ329" s="92"/>
      <c r="BA329" s="92"/>
      <c r="BB329" s="92"/>
    </row>
    <row r="330" spans="1:54" s="26" customFormat="1">
      <c r="A330" s="132"/>
      <c r="B330" s="133"/>
      <c r="C330" s="134"/>
      <c r="D330" s="134"/>
      <c r="AQ330" s="92"/>
      <c r="AR330" s="92"/>
      <c r="AS330" s="92"/>
      <c r="AT330" s="92"/>
      <c r="AU330" s="92"/>
      <c r="AV330" s="92"/>
      <c r="AW330" s="92"/>
      <c r="AX330" s="92"/>
      <c r="AY330" s="92"/>
      <c r="AZ330" s="92"/>
      <c r="BA330" s="92"/>
      <c r="BB330" s="92"/>
    </row>
    <row r="331" spans="1:54" s="26" customFormat="1">
      <c r="A331" s="132"/>
      <c r="B331" s="133"/>
      <c r="C331" s="134"/>
      <c r="D331" s="134"/>
      <c r="AQ331" s="92"/>
      <c r="AR331" s="92"/>
      <c r="AS331" s="92"/>
      <c r="AT331" s="92"/>
      <c r="AU331" s="92"/>
      <c r="AV331" s="92"/>
      <c r="AW331" s="92"/>
      <c r="AX331" s="92"/>
      <c r="AY331" s="92"/>
      <c r="AZ331" s="92"/>
      <c r="BA331" s="92"/>
      <c r="BB331" s="92"/>
    </row>
    <row r="332" spans="1:54" s="26" customFormat="1">
      <c r="A332" s="132"/>
      <c r="B332" s="133"/>
      <c r="C332" s="134"/>
      <c r="D332" s="134"/>
      <c r="AQ332" s="92"/>
      <c r="AR332" s="92"/>
      <c r="AS332" s="92"/>
      <c r="AT332" s="92"/>
      <c r="AU332" s="92"/>
      <c r="AV332" s="92"/>
      <c r="AW332" s="92"/>
      <c r="AX332" s="92"/>
      <c r="AY332" s="92"/>
      <c r="AZ332" s="92"/>
      <c r="BA332" s="92"/>
      <c r="BB332" s="92"/>
    </row>
    <row r="333" spans="1:54" s="26" customFormat="1">
      <c r="A333" s="132"/>
      <c r="B333" s="133"/>
      <c r="C333" s="134"/>
      <c r="D333" s="134"/>
      <c r="AQ333" s="92"/>
      <c r="AR333" s="92"/>
      <c r="AS333" s="92"/>
      <c r="AT333" s="92"/>
      <c r="AU333" s="92"/>
      <c r="AV333" s="92"/>
      <c r="AW333" s="92"/>
      <c r="AX333" s="92"/>
      <c r="AY333" s="92"/>
      <c r="AZ333" s="92"/>
      <c r="BA333" s="92"/>
      <c r="BB333" s="92"/>
    </row>
    <row r="334" spans="1:54" s="26" customFormat="1">
      <c r="A334" s="132"/>
      <c r="B334" s="133"/>
      <c r="C334" s="134"/>
      <c r="D334" s="134"/>
      <c r="AQ334" s="92"/>
      <c r="AR334" s="92"/>
      <c r="AS334" s="92"/>
      <c r="AT334" s="92"/>
      <c r="AU334" s="92"/>
      <c r="AV334" s="92"/>
      <c r="AW334" s="92"/>
      <c r="AX334" s="92"/>
      <c r="AY334" s="92"/>
      <c r="AZ334" s="92"/>
      <c r="BA334" s="92"/>
      <c r="BB334" s="92"/>
    </row>
    <row r="335" spans="1:54" s="26" customFormat="1">
      <c r="A335" s="132"/>
      <c r="B335" s="133"/>
      <c r="C335" s="134"/>
      <c r="D335" s="134"/>
      <c r="AQ335" s="92"/>
      <c r="AR335" s="92"/>
      <c r="AS335" s="92"/>
      <c r="AT335" s="92"/>
      <c r="AU335" s="92"/>
      <c r="AV335" s="92"/>
      <c r="AW335" s="92"/>
      <c r="AX335" s="92"/>
      <c r="AY335" s="92"/>
      <c r="AZ335" s="92"/>
      <c r="BA335" s="92"/>
      <c r="BB335" s="92"/>
    </row>
    <row r="336" spans="1:54" s="26" customFormat="1">
      <c r="A336" s="132"/>
      <c r="B336" s="133"/>
      <c r="C336" s="134"/>
      <c r="D336" s="134"/>
      <c r="AQ336" s="92"/>
      <c r="AR336" s="92"/>
      <c r="AS336" s="92"/>
      <c r="AT336" s="92"/>
      <c r="AU336" s="92"/>
      <c r="AV336" s="92"/>
      <c r="AW336" s="92"/>
      <c r="AX336" s="92"/>
      <c r="AY336" s="92"/>
      <c r="AZ336" s="92"/>
      <c r="BA336" s="92"/>
      <c r="BB336" s="92"/>
    </row>
    <row r="337" spans="1:54" s="26" customFormat="1">
      <c r="A337" s="132"/>
      <c r="B337" s="133"/>
      <c r="C337" s="134"/>
      <c r="D337" s="134"/>
      <c r="AQ337" s="92"/>
      <c r="AR337" s="92"/>
      <c r="AS337" s="92"/>
      <c r="AT337" s="92"/>
      <c r="AU337" s="92"/>
      <c r="AV337" s="92"/>
      <c r="AW337" s="92"/>
      <c r="AX337" s="92"/>
      <c r="AY337" s="92"/>
      <c r="AZ337" s="92"/>
      <c r="BA337" s="92"/>
      <c r="BB337" s="92"/>
    </row>
    <row r="338" spans="1:54" s="26" customFormat="1">
      <c r="A338" s="132"/>
      <c r="B338" s="133"/>
      <c r="C338" s="134"/>
      <c r="D338" s="134"/>
      <c r="AQ338" s="92"/>
      <c r="AR338" s="92"/>
      <c r="AS338" s="92"/>
      <c r="AT338" s="92"/>
      <c r="AU338" s="92"/>
      <c r="AV338" s="92"/>
      <c r="AW338" s="92"/>
      <c r="AX338" s="92"/>
      <c r="AY338" s="92"/>
      <c r="AZ338" s="92"/>
      <c r="BA338" s="92"/>
      <c r="BB338" s="92"/>
    </row>
    <row r="339" spans="1:54" s="26" customFormat="1">
      <c r="A339" s="132"/>
      <c r="B339" s="133"/>
      <c r="C339" s="134"/>
      <c r="D339" s="134"/>
      <c r="AQ339" s="92"/>
      <c r="AR339" s="92"/>
      <c r="AS339" s="92"/>
      <c r="AT339" s="92"/>
      <c r="AU339" s="92"/>
      <c r="AV339" s="92"/>
      <c r="AW339" s="92"/>
      <c r="AX339" s="92"/>
      <c r="AY339" s="92"/>
      <c r="AZ339" s="92"/>
      <c r="BA339" s="92"/>
      <c r="BB339" s="92"/>
    </row>
    <row r="340" spans="1:54" s="26" customFormat="1">
      <c r="A340" s="132"/>
      <c r="B340" s="133"/>
      <c r="C340" s="134"/>
      <c r="D340" s="134"/>
      <c r="AQ340" s="92"/>
      <c r="AR340" s="92"/>
      <c r="AS340" s="92"/>
      <c r="AT340" s="92"/>
      <c r="AU340" s="92"/>
      <c r="AV340" s="92"/>
      <c r="AW340" s="92"/>
      <c r="AX340" s="92"/>
      <c r="AY340" s="92"/>
      <c r="AZ340" s="92"/>
      <c r="BA340" s="92"/>
      <c r="BB340" s="92"/>
    </row>
    <row r="341" spans="1:54" s="26" customFormat="1">
      <c r="A341" s="132"/>
      <c r="B341" s="133"/>
      <c r="C341" s="134"/>
      <c r="D341" s="134"/>
      <c r="AQ341" s="92"/>
      <c r="AR341" s="92"/>
      <c r="AS341" s="92"/>
      <c r="AT341" s="92"/>
      <c r="AU341" s="92"/>
      <c r="AV341" s="92"/>
      <c r="AW341" s="92"/>
      <c r="AX341" s="92"/>
      <c r="AY341" s="92"/>
      <c r="AZ341" s="92"/>
      <c r="BA341" s="92"/>
      <c r="BB341" s="92"/>
    </row>
    <row r="342" spans="1:54" s="26" customFormat="1">
      <c r="A342" s="132"/>
      <c r="B342" s="133"/>
      <c r="C342" s="134"/>
      <c r="D342" s="134"/>
      <c r="AQ342" s="92"/>
      <c r="AR342" s="92"/>
      <c r="AS342" s="92"/>
      <c r="AT342" s="92"/>
      <c r="AU342" s="92"/>
      <c r="AV342" s="92"/>
      <c r="AW342" s="92"/>
      <c r="AX342" s="92"/>
      <c r="AY342" s="92"/>
      <c r="AZ342" s="92"/>
      <c r="BA342" s="92"/>
      <c r="BB342" s="92"/>
    </row>
    <row r="343" spans="1:54" s="26" customFormat="1">
      <c r="A343" s="132"/>
      <c r="B343" s="133"/>
      <c r="C343" s="134"/>
      <c r="D343" s="134"/>
      <c r="AQ343" s="92"/>
      <c r="AR343" s="92"/>
      <c r="AS343" s="92"/>
      <c r="AT343" s="92"/>
      <c r="AU343" s="92"/>
      <c r="AV343" s="92"/>
      <c r="AW343" s="92"/>
      <c r="AX343" s="92"/>
      <c r="AY343" s="92"/>
      <c r="AZ343" s="92"/>
      <c r="BA343" s="92"/>
      <c r="BB343" s="92"/>
    </row>
    <row r="344" spans="1:54" s="26" customFormat="1">
      <c r="A344" s="132"/>
      <c r="B344" s="133"/>
      <c r="C344" s="134"/>
      <c r="D344" s="134"/>
      <c r="AQ344" s="92"/>
      <c r="AR344" s="92"/>
      <c r="AS344" s="92"/>
      <c r="AT344" s="92"/>
      <c r="AU344" s="92"/>
      <c r="AV344" s="92"/>
      <c r="AW344" s="92"/>
      <c r="AX344" s="92"/>
      <c r="AY344" s="92"/>
      <c r="AZ344" s="92"/>
      <c r="BA344" s="92"/>
      <c r="BB344" s="92"/>
    </row>
    <row r="345" spans="1:54" s="26" customFormat="1">
      <c r="A345" s="132"/>
      <c r="B345" s="133"/>
      <c r="C345" s="134"/>
      <c r="D345" s="134"/>
      <c r="AQ345" s="92"/>
      <c r="AR345" s="92"/>
      <c r="AS345" s="92"/>
      <c r="AT345" s="92"/>
      <c r="AU345" s="92"/>
      <c r="AV345" s="92"/>
      <c r="AW345" s="92"/>
      <c r="AX345" s="92"/>
      <c r="AY345" s="92"/>
      <c r="AZ345" s="92"/>
      <c r="BA345" s="92"/>
      <c r="BB345" s="92"/>
    </row>
    <row r="346" spans="1:54" s="26" customFormat="1">
      <c r="A346" s="132"/>
      <c r="B346" s="133"/>
      <c r="C346" s="134"/>
      <c r="D346" s="134"/>
      <c r="AQ346" s="92"/>
      <c r="AR346" s="92"/>
      <c r="AS346" s="92"/>
      <c r="AT346" s="92"/>
      <c r="AU346" s="92"/>
      <c r="AV346" s="92"/>
      <c r="AW346" s="92"/>
      <c r="AX346" s="92"/>
      <c r="AY346" s="92"/>
      <c r="AZ346" s="92"/>
      <c r="BA346" s="92"/>
      <c r="BB346" s="92"/>
    </row>
    <row r="347" spans="1:54" s="26" customFormat="1">
      <c r="A347" s="132"/>
      <c r="B347" s="133"/>
      <c r="C347" s="134"/>
      <c r="D347" s="134"/>
      <c r="AQ347" s="92"/>
      <c r="AR347" s="92"/>
      <c r="AS347" s="92"/>
      <c r="AT347" s="92"/>
      <c r="AU347" s="92"/>
      <c r="AV347" s="92"/>
      <c r="AW347" s="92"/>
      <c r="AX347" s="92"/>
      <c r="AY347" s="92"/>
      <c r="AZ347" s="92"/>
      <c r="BA347" s="92"/>
      <c r="BB347" s="92"/>
    </row>
    <row r="348" spans="1:54" s="26" customFormat="1">
      <c r="A348" s="132"/>
      <c r="B348" s="133"/>
      <c r="C348" s="134"/>
      <c r="D348" s="134"/>
      <c r="AQ348" s="92"/>
      <c r="AR348" s="92"/>
      <c r="AS348" s="92"/>
      <c r="AT348" s="92"/>
      <c r="AU348" s="92"/>
      <c r="AV348" s="92"/>
      <c r="AW348" s="92"/>
      <c r="AX348" s="92"/>
      <c r="AY348" s="92"/>
      <c r="AZ348" s="92"/>
      <c r="BA348" s="92"/>
      <c r="BB348" s="92"/>
    </row>
    <row r="349" spans="1:54" s="26" customFormat="1">
      <c r="A349" s="132"/>
      <c r="B349" s="133"/>
      <c r="C349" s="134"/>
      <c r="D349" s="134"/>
      <c r="AQ349" s="92"/>
      <c r="AR349" s="92"/>
      <c r="AS349" s="92"/>
      <c r="AT349" s="92"/>
      <c r="AU349" s="92"/>
      <c r="AV349" s="92"/>
      <c r="AW349" s="92"/>
      <c r="AX349" s="92"/>
      <c r="AY349" s="92"/>
      <c r="AZ349" s="92"/>
      <c r="BA349" s="92"/>
      <c r="BB349" s="92"/>
    </row>
    <row r="350" spans="1:54" s="26" customFormat="1">
      <c r="A350" s="132"/>
      <c r="B350" s="133"/>
      <c r="C350" s="134"/>
      <c r="D350" s="134"/>
      <c r="AQ350" s="92"/>
      <c r="AR350" s="92"/>
      <c r="AS350" s="92"/>
      <c r="AT350" s="92"/>
      <c r="AU350" s="92"/>
      <c r="AV350" s="92"/>
      <c r="AW350" s="92"/>
      <c r="AX350" s="92"/>
      <c r="AY350" s="92"/>
      <c r="AZ350" s="92"/>
      <c r="BA350" s="92"/>
      <c r="BB350" s="92"/>
    </row>
    <row r="351" spans="1:54" s="26" customFormat="1">
      <c r="A351" s="132"/>
      <c r="B351" s="133"/>
      <c r="C351" s="134"/>
      <c r="D351" s="134"/>
      <c r="AQ351" s="92"/>
      <c r="AR351" s="92"/>
      <c r="AS351" s="92"/>
      <c r="AT351" s="92"/>
      <c r="AU351" s="92"/>
      <c r="AV351" s="92"/>
      <c r="AW351" s="92"/>
      <c r="AX351" s="92"/>
      <c r="AY351" s="92"/>
      <c r="AZ351" s="92"/>
      <c r="BA351" s="92"/>
      <c r="BB351" s="92"/>
    </row>
    <row r="352" spans="1:54" s="26" customFormat="1">
      <c r="A352" s="132"/>
      <c r="B352" s="133"/>
      <c r="C352" s="134"/>
      <c r="D352" s="134"/>
      <c r="AQ352" s="92"/>
      <c r="AR352" s="92"/>
      <c r="AS352" s="92"/>
      <c r="AT352" s="92"/>
      <c r="AU352" s="92"/>
      <c r="AV352" s="92"/>
      <c r="AW352" s="92"/>
      <c r="AX352" s="92"/>
      <c r="AY352" s="92"/>
      <c r="AZ352" s="92"/>
      <c r="BA352" s="92"/>
      <c r="BB352" s="92"/>
    </row>
    <row r="353" spans="1:54" s="26" customFormat="1">
      <c r="A353" s="132"/>
      <c r="B353" s="133"/>
      <c r="C353" s="134"/>
      <c r="D353" s="134"/>
      <c r="AQ353" s="92"/>
      <c r="AR353" s="92"/>
      <c r="AS353" s="92"/>
      <c r="AT353" s="92"/>
      <c r="AU353" s="92"/>
      <c r="AV353" s="92"/>
      <c r="AW353" s="92"/>
      <c r="AX353" s="92"/>
      <c r="AY353" s="92"/>
      <c r="AZ353" s="92"/>
      <c r="BA353" s="92"/>
      <c r="BB353" s="92"/>
    </row>
    <row r="354" spans="1:54" s="26" customFormat="1">
      <c r="A354" s="132"/>
      <c r="B354" s="133"/>
      <c r="C354" s="134"/>
      <c r="D354" s="134"/>
      <c r="AQ354" s="92"/>
      <c r="AR354" s="92"/>
      <c r="AS354" s="92"/>
      <c r="AT354" s="92"/>
      <c r="AU354" s="92"/>
      <c r="AV354" s="92"/>
      <c r="AW354" s="92"/>
      <c r="AX354" s="92"/>
      <c r="AY354" s="92"/>
      <c r="AZ354" s="92"/>
      <c r="BA354" s="92"/>
      <c r="BB354" s="92"/>
    </row>
    <row r="355" spans="1:54" s="26" customFormat="1">
      <c r="A355" s="132"/>
      <c r="B355" s="133"/>
      <c r="C355" s="134"/>
      <c r="D355" s="134"/>
      <c r="AQ355" s="92"/>
      <c r="AR355" s="92"/>
      <c r="AS355" s="92"/>
      <c r="AT355" s="92"/>
      <c r="AU355" s="92"/>
      <c r="AV355" s="92"/>
      <c r="AW355" s="92"/>
      <c r="AX355" s="92"/>
      <c r="AY355" s="92"/>
      <c r="AZ355" s="92"/>
      <c r="BA355" s="92"/>
      <c r="BB355" s="92"/>
    </row>
    <row r="356" spans="1:54" s="26" customFormat="1">
      <c r="A356" s="132"/>
      <c r="B356" s="133"/>
      <c r="C356" s="134"/>
      <c r="D356" s="134"/>
      <c r="AQ356" s="92"/>
      <c r="AR356" s="92"/>
      <c r="AS356" s="92"/>
      <c r="AT356" s="92"/>
      <c r="AU356" s="92"/>
      <c r="AV356" s="92"/>
      <c r="AW356" s="92"/>
      <c r="AX356" s="92"/>
      <c r="AY356" s="92"/>
      <c r="AZ356" s="92"/>
      <c r="BA356" s="92"/>
      <c r="BB356" s="92"/>
    </row>
    <row r="357" spans="1:54" s="26" customFormat="1">
      <c r="A357" s="132"/>
      <c r="B357" s="133"/>
      <c r="C357" s="134"/>
      <c r="D357" s="134"/>
      <c r="AQ357" s="92"/>
      <c r="AR357" s="92"/>
      <c r="AS357" s="92"/>
      <c r="AT357" s="92"/>
      <c r="AU357" s="92"/>
      <c r="AV357" s="92"/>
      <c r="AW357" s="92"/>
      <c r="AX357" s="92"/>
      <c r="AY357" s="92"/>
      <c r="AZ357" s="92"/>
      <c r="BA357" s="92"/>
      <c r="BB357" s="92"/>
    </row>
    <row r="358" spans="1:54" s="26" customFormat="1">
      <c r="A358" s="132"/>
      <c r="B358" s="133"/>
      <c r="C358" s="134"/>
      <c r="D358" s="134"/>
      <c r="AQ358" s="92"/>
      <c r="AR358" s="92"/>
      <c r="AS358" s="92"/>
      <c r="AT358" s="92"/>
      <c r="AU358" s="92"/>
      <c r="AV358" s="92"/>
      <c r="AW358" s="92"/>
      <c r="AX358" s="92"/>
      <c r="AY358" s="92"/>
      <c r="AZ358" s="92"/>
      <c r="BA358" s="92"/>
      <c r="BB358" s="92"/>
    </row>
    <row r="359" spans="1:54" s="26" customFormat="1">
      <c r="A359" s="132"/>
      <c r="B359" s="133"/>
      <c r="C359" s="134"/>
      <c r="D359" s="134"/>
      <c r="AQ359" s="92"/>
      <c r="AR359" s="92"/>
      <c r="AS359" s="92"/>
      <c r="AT359" s="92"/>
      <c r="AU359" s="92"/>
      <c r="AV359" s="92"/>
      <c r="AW359" s="92"/>
      <c r="AX359" s="92"/>
      <c r="AY359" s="92"/>
      <c r="AZ359" s="92"/>
      <c r="BA359" s="92"/>
      <c r="BB359" s="92"/>
    </row>
    <row r="360" spans="1:54" s="26" customFormat="1">
      <c r="A360" s="132"/>
      <c r="B360" s="133"/>
      <c r="C360" s="134"/>
      <c r="D360" s="134"/>
      <c r="AQ360" s="92"/>
      <c r="AR360" s="92"/>
      <c r="AS360" s="92"/>
      <c r="AT360" s="92"/>
      <c r="AU360" s="92"/>
      <c r="AV360" s="92"/>
      <c r="AW360" s="92"/>
      <c r="AX360" s="92"/>
      <c r="AY360" s="92"/>
      <c r="AZ360" s="92"/>
      <c r="BA360" s="92"/>
      <c r="BB360" s="92"/>
    </row>
    <row r="361" spans="1:54" s="26" customFormat="1">
      <c r="A361" s="132"/>
      <c r="B361" s="133"/>
      <c r="C361" s="134"/>
      <c r="D361" s="134"/>
      <c r="AQ361" s="92"/>
      <c r="AR361" s="92"/>
      <c r="AS361" s="92"/>
      <c r="AT361" s="92"/>
      <c r="AU361" s="92"/>
      <c r="AV361" s="92"/>
      <c r="AW361" s="92"/>
      <c r="AX361" s="92"/>
      <c r="AY361" s="92"/>
      <c r="AZ361" s="92"/>
      <c r="BA361" s="92"/>
      <c r="BB361" s="92"/>
    </row>
    <row r="362" spans="1:54" s="26" customFormat="1">
      <c r="A362" s="132"/>
      <c r="B362" s="133"/>
      <c r="C362" s="134"/>
      <c r="D362" s="134"/>
      <c r="AQ362" s="92"/>
      <c r="AR362" s="92"/>
      <c r="AS362" s="92"/>
      <c r="AT362" s="92"/>
      <c r="AU362" s="92"/>
      <c r="AV362" s="92"/>
      <c r="AW362" s="92"/>
      <c r="AX362" s="92"/>
      <c r="AY362" s="92"/>
      <c r="AZ362" s="92"/>
      <c r="BA362" s="92"/>
      <c r="BB362" s="92"/>
    </row>
    <row r="363" spans="1:54" s="26" customFormat="1">
      <c r="A363" s="132"/>
      <c r="B363" s="133"/>
      <c r="C363" s="134"/>
      <c r="D363" s="134"/>
      <c r="AQ363" s="92"/>
      <c r="AR363" s="92"/>
      <c r="AS363" s="92"/>
      <c r="AT363" s="92"/>
      <c r="AU363" s="92"/>
      <c r="AV363" s="92"/>
      <c r="AW363" s="92"/>
      <c r="AX363" s="92"/>
      <c r="AY363" s="92"/>
      <c r="AZ363" s="92"/>
      <c r="BA363" s="92"/>
      <c r="BB363" s="92"/>
    </row>
    <row r="364" spans="1:54" s="26" customFormat="1">
      <c r="A364" s="132"/>
      <c r="B364" s="133"/>
      <c r="C364" s="134"/>
      <c r="D364" s="134"/>
      <c r="AQ364" s="92"/>
      <c r="AR364" s="92"/>
      <c r="AS364" s="92"/>
      <c r="AT364" s="92"/>
      <c r="AU364" s="92"/>
      <c r="AV364" s="92"/>
      <c r="AW364" s="92"/>
      <c r="AX364" s="92"/>
      <c r="AY364" s="92"/>
      <c r="AZ364" s="92"/>
      <c r="BA364" s="92"/>
      <c r="BB364" s="92"/>
    </row>
    <row r="365" spans="1:54" s="26" customFormat="1">
      <c r="A365" s="132"/>
      <c r="B365" s="133"/>
      <c r="C365" s="134"/>
      <c r="D365" s="134"/>
      <c r="AQ365" s="92"/>
      <c r="AR365" s="92"/>
      <c r="AS365" s="92"/>
      <c r="AT365" s="92"/>
      <c r="AU365" s="92"/>
      <c r="AV365" s="92"/>
      <c r="AW365" s="92"/>
      <c r="AX365" s="92"/>
      <c r="AY365" s="92"/>
      <c r="AZ365" s="92"/>
      <c r="BA365" s="92"/>
      <c r="BB365" s="92"/>
    </row>
    <row r="366" spans="1:54" s="26" customFormat="1">
      <c r="A366" s="132"/>
      <c r="B366" s="133"/>
      <c r="C366" s="134"/>
      <c r="D366" s="134"/>
      <c r="AQ366" s="92"/>
      <c r="AR366" s="92"/>
      <c r="AS366" s="92"/>
      <c r="AT366" s="92"/>
      <c r="AU366" s="92"/>
      <c r="AV366" s="92"/>
      <c r="AW366" s="92"/>
      <c r="AX366" s="92"/>
      <c r="AY366" s="92"/>
      <c r="AZ366" s="92"/>
      <c r="BA366" s="92"/>
      <c r="BB366" s="92"/>
    </row>
    <row r="367" spans="1:54" s="26" customFormat="1">
      <c r="A367" s="132"/>
      <c r="B367" s="133"/>
      <c r="C367" s="134"/>
      <c r="D367" s="134"/>
      <c r="AQ367" s="92"/>
      <c r="AR367" s="92"/>
      <c r="AS367" s="92"/>
      <c r="AT367" s="92"/>
      <c r="AU367" s="92"/>
      <c r="AV367" s="92"/>
      <c r="AW367" s="92"/>
      <c r="AX367" s="92"/>
      <c r="AY367" s="92"/>
      <c r="AZ367" s="92"/>
      <c r="BA367" s="92"/>
      <c r="BB367" s="92"/>
    </row>
    <row r="368" spans="1:54" s="26" customFormat="1">
      <c r="A368" s="132"/>
      <c r="B368" s="133"/>
      <c r="C368" s="134"/>
      <c r="D368" s="134"/>
      <c r="AQ368" s="92"/>
      <c r="AR368" s="92"/>
      <c r="AS368" s="92"/>
      <c r="AT368" s="92"/>
      <c r="AU368" s="92"/>
      <c r="AV368" s="92"/>
      <c r="AW368" s="92"/>
      <c r="AX368" s="92"/>
      <c r="AY368" s="92"/>
      <c r="AZ368" s="92"/>
      <c r="BA368" s="92"/>
      <c r="BB368" s="92"/>
    </row>
    <row r="369" spans="1:54" s="26" customFormat="1">
      <c r="A369" s="132"/>
      <c r="B369" s="133"/>
      <c r="C369" s="134"/>
      <c r="D369" s="134"/>
      <c r="AQ369" s="92"/>
      <c r="AR369" s="92"/>
      <c r="AS369" s="92"/>
      <c r="AT369" s="92"/>
      <c r="AU369" s="92"/>
      <c r="AV369" s="92"/>
      <c r="AW369" s="92"/>
      <c r="AX369" s="92"/>
      <c r="AY369" s="92"/>
      <c r="AZ369" s="92"/>
      <c r="BA369" s="92"/>
      <c r="BB369" s="92"/>
    </row>
    <row r="370" spans="1:54" s="26" customFormat="1">
      <c r="A370" s="132"/>
      <c r="B370" s="133"/>
      <c r="C370" s="134"/>
      <c r="D370" s="134"/>
      <c r="AQ370" s="92"/>
      <c r="AR370" s="92"/>
      <c r="AS370" s="92"/>
      <c r="AT370" s="92"/>
      <c r="AU370" s="92"/>
      <c r="AV370" s="92"/>
      <c r="AW370" s="92"/>
      <c r="AX370" s="92"/>
      <c r="AY370" s="92"/>
      <c r="AZ370" s="92"/>
      <c r="BA370" s="92"/>
      <c r="BB370" s="92"/>
    </row>
    <row r="371" spans="1:54" s="26" customFormat="1">
      <c r="A371" s="132"/>
      <c r="B371" s="133"/>
      <c r="C371" s="134"/>
      <c r="D371" s="134"/>
      <c r="AQ371" s="92"/>
      <c r="AR371" s="92"/>
      <c r="AS371" s="92"/>
      <c r="AT371" s="92"/>
      <c r="AU371" s="92"/>
      <c r="AV371" s="92"/>
      <c r="AW371" s="92"/>
      <c r="AX371" s="92"/>
      <c r="AY371" s="92"/>
      <c r="AZ371" s="92"/>
      <c r="BA371" s="92"/>
      <c r="BB371" s="92"/>
    </row>
    <row r="372" spans="1:54" s="26" customFormat="1">
      <c r="A372" s="132"/>
      <c r="B372" s="133"/>
      <c r="C372" s="134"/>
      <c r="D372" s="134"/>
      <c r="AQ372" s="92"/>
      <c r="AR372" s="92"/>
      <c r="AS372" s="92"/>
      <c r="AT372" s="92"/>
      <c r="AU372" s="92"/>
      <c r="AV372" s="92"/>
      <c r="AW372" s="92"/>
      <c r="AX372" s="92"/>
      <c r="AY372" s="92"/>
      <c r="AZ372" s="92"/>
      <c r="BA372" s="92"/>
      <c r="BB372" s="92"/>
    </row>
    <row r="373" spans="1:54" s="26" customFormat="1">
      <c r="A373" s="132"/>
      <c r="B373" s="133"/>
      <c r="C373" s="134"/>
      <c r="D373" s="134"/>
      <c r="AQ373" s="92"/>
      <c r="AR373" s="92"/>
      <c r="AS373" s="92"/>
      <c r="AT373" s="92"/>
      <c r="AU373" s="92"/>
      <c r="AV373" s="92"/>
      <c r="AW373" s="92"/>
      <c r="AX373" s="92"/>
      <c r="AY373" s="92"/>
      <c r="AZ373" s="92"/>
      <c r="BA373" s="92"/>
      <c r="BB373" s="92"/>
    </row>
    <row r="374" spans="1:54" s="26" customFormat="1">
      <c r="A374" s="132"/>
      <c r="B374" s="133"/>
      <c r="C374" s="134"/>
      <c r="D374" s="134"/>
      <c r="AQ374" s="92"/>
      <c r="AR374" s="92"/>
      <c r="AS374" s="92"/>
      <c r="AT374" s="92"/>
      <c r="AU374" s="92"/>
      <c r="AV374" s="92"/>
      <c r="AW374" s="92"/>
      <c r="AX374" s="92"/>
      <c r="AY374" s="92"/>
      <c r="AZ374" s="92"/>
      <c r="BA374" s="92"/>
      <c r="BB374" s="92"/>
    </row>
    <row r="375" spans="1:54" s="26" customFormat="1">
      <c r="A375" s="132"/>
      <c r="B375" s="133"/>
      <c r="C375" s="134"/>
      <c r="D375" s="134"/>
      <c r="AQ375" s="92"/>
      <c r="AR375" s="92"/>
      <c r="AS375" s="92"/>
      <c r="AT375" s="92"/>
      <c r="AU375" s="92"/>
      <c r="AV375" s="92"/>
      <c r="AW375" s="92"/>
      <c r="AX375" s="92"/>
      <c r="AY375" s="92"/>
      <c r="AZ375" s="92"/>
      <c r="BA375" s="92"/>
      <c r="BB375" s="92"/>
    </row>
    <row r="376" spans="1:54" s="26" customFormat="1">
      <c r="A376" s="132"/>
      <c r="B376" s="133"/>
      <c r="C376" s="134"/>
      <c r="D376" s="134"/>
      <c r="AQ376" s="92"/>
      <c r="AR376" s="92"/>
      <c r="AS376" s="92"/>
      <c r="AT376" s="92"/>
      <c r="AU376" s="92"/>
      <c r="AV376" s="92"/>
      <c r="AW376" s="92"/>
      <c r="AX376" s="92"/>
      <c r="AY376" s="92"/>
      <c r="AZ376" s="92"/>
      <c r="BA376" s="92"/>
      <c r="BB376" s="92"/>
    </row>
    <row r="377" spans="1:54" s="26" customFormat="1">
      <c r="A377" s="132"/>
      <c r="B377" s="133"/>
      <c r="C377" s="134"/>
      <c r="D377" s="134"/>
      <c r="AQ377" s="92"/>
      <c r="AR377" s="92"/>
      <c r="AS377" s="92"/>
      <c r="AT377" s="92"/>
      <c r="AU377" s="92"/>
      <c r="AV377" s="92"/>
      <c r="AW377" s="92"/>
      <c r="AX377" s="92"/>
      <c r="AY377" s="92"/>
      <c r="AZ377" s="92"/>
      <c r="BA377" s="92"/>
      <c r="BB377" s="92"/>
    </row>
    <row r="378" spans="1:54" s="26" customFormat="1">
      <c r="A378" s="132"/>
      <c r="B378" s="133"/>
      <c r="C378" s="134"/>
      <c r="D378" s="134"/>
      <c r="AQ378" s="92"/>
      <c r="AR378" s="92"/>
      <c r="AS378" s="92"/>
      <c r="AT378" s="92"/>
      <c r="AU378" s="92"/>
      <c r="AV378" s="92"/>
      <c r="AW378" s="92"/>
      <c r="AX378" s="92"/>
      <c r="AY378" s="92"/>
      <c r="AZ378" s="92"/>
      <c r="BA378" s="92"/>
      <c r="BB378" s="92"/>
    </row>
    <row r="379" spans="1:54" s="26" customFormat="1">
      <c r="A379" s="132"/>
      <c r="B379" s="133"/>
      <c r="C379" s="134"/>
      <c r="D379" s="134"/>
      <c r="AQ379" s="92"/>
      <c r="AR379" s="92"/>
      <c r="AS379" s="92"/>
      <c r="AT379" s="92"/>
      <c r="AU379" s="92"/>
      <c r="AV379" s="92"/>
      <c r="AW379" s="92"/>
      <c r="AX379" s="92"/>
      <c r="AY379" s="92"/>
      <c r="AZ379" s="92"/>
      <c r="BA379" s="92"/>
      <c r="BB379" s="92"/>
    </row>
    <row r="380" spans="1:54" s="26" customFormat="1">
      <c r="A380" s="132"/>
      <c r="B380" s="133"/>
      <c r="C380" s="134"/>
      <c r="D380" s="134"/>
      <c r="AQ380" s="92"/>
      <c r="AR380" s="92"/>
      <c r="AS380" s="92"/>
      <c r="AT380" s="92"/>
      <c r="AU380" s="92"/>
      <c r="AV380" s="92"/>
      <c r="AW380" s="92"/>
      <c r="AX380" s="92"/>
      <c r="AY380" s="92"/>
      <c r="AZ380" s="92"/>
      <c r="BA380" s="92"/>
      <c r="BB380" s="92"/>
    </row>
    <row r="381" spans="1:54" s="26" customFormat="1">
      <c r="A381" s="132"/>
      <c r="B381" s="133"/>
      <c r="C381" s="134"/>
      <c r="D381" s="134"/>
      <c r="AQ381" s="92"/>
      <c r="AR381" s="92"/>
      <c r="AS381" s="92"/>
      <c r="AT381" s="92"/>
      <c r="AU381" s="92"/>
      <c r="AV381" s="92"/>
      <c r="AW381" s="92"/>
      <c r="AX381" s="92"/>
      <c r="AY381" s="92"/>
      <c r="AZ381" s="92"/>
      <c r="BA381" s="92"/>
      <c r="BB381" s="92"/>
    </row>
    <row r="382" spans="1:54" s="26" customFormat="1">
      <c r="A382" s="132"/>
      <c r="B382" s="133"/>
      <c r="C382" s="134"/>
      <c r="D382" s="134"/>
      <c r="AQ382" s="92"/>
      <c r="AR382" s="92"/>
      <c r="AS382" s="92"/>
      <c r="AT382" s="92"/>
      <c r="AU382" s="92"/>
      <c r="AV382" s="92"/>
      <c r="AW382" s="92"/>
      <c r="AX382" s="92"/>
      <c r="AY382" s="92"/>
      <c r="AZ382" s="92"/>
      <c r="BA382" s="92"/>
      <c r="BB382" s="92"/>
    </row>
    <row r="383" spans="1:54" s="26" customFormat="1">
      <c r="A383" s="132"/>
      <c r="B383" s="133"/>
      <c r="C383" s="134"/>
      <c r="D383" s="134"/>
      <c r="AQ383" s="92"/>
      <c r="AR383" s="92"/>
      <c r="AS383" s="92"/>
      <c r="AT383" s="92"/>
      <c r="AU383" s="92"/>
      <c r="AV383" s="92"/>
      <c r="AW383" s="92"/>
      <c r="AX383" s="92"/>
      <c r="AY383" s="92"/>
      <c r="AZ383" s="92"/>
      <c r="BA383" s="92"/>
      <c r="BB383" s="92"/>
    </row>
    <row r="384" spans="1:54" s="26" customFormat="1">
      <c r="A384" s="132"/>
      <c r="B384" s="133"/>
      <c r="C384" s="134"/>
      <c r="D384" s="134"/>
      <c r="AQ384" s="92"/>
      <c r="AR384" s="92"/>
      <c r="AS384" s="92"/>
      <c r="AT384" s="92"/>
      <c r="AU384" s="92"/>
      <c r="AV384" s="92"/>
      <c r="AW384" s="92"/>
      <c r="AX384" s="92"/>
      <c r="AY384" s="92"/>
      <c r="AZ384" s="92"/>
      <c r="BA384" s="92"/>
      <c r="BB384" s="92"/>
    </row>
    <row r="385" spans="1:54" s="26" customFormat="1">
      <c r="A385" s="132"/>
      <c r="B385" s="133"/>
      <c r="C385" s="134"/>
      <c r="D385" s="134"/>
      <c r="AQ385" s="92"/>
      <c r="AR385" s="92"/>
      <c r="AS385" s="92"/>
      <c r="AT385" s="92"/>
      <c r="AU385" s="92"/>
      <c r="AV385" s="92"/>
      <c r="AW385" s="92"/>
      <c r="AX385" s="92"/>
      <c r="AY385" s="92"/>
      <c r="AZ385" s="92"/>
      <c r="BA385" s="92"/>
      <c r="BB385" s="92"/>
    </row>
    <row r="386" spans="1:54" s="26" customFormat="1">
      <c r="A386" s="132"/>
      <c r="B386" s="133"/>
      <c r="C386" s="134"/>
      <c r="D386" s="134"/>
      <c r="AQ386" s="92"/>
      <c r="AR386" s="92"/>
      <c r="AS386" s="92"/>
      <c r="AT386" s="92"/>
      <c r="AU386" s="92"/>
      <c r="AV386" s="92"/>
      <c r="AW386" s="92"/>
      <c r="AX386" s="92"/>
      <c r="AY386" s="92"/>
      <c r="AZ386" s="92"/>
      <c r="BA386" s="92"/>
      <c r="BB386" s="92"/>
    </row>
    <row r="387" spans="1:54" s="26" customFormat="1">
      <c r="A387" s="132"/>
      <c r="B387" s="133"/>
      <c r="C387" s="134"/>
      <c r="D387" s="134"/>
      <c r="AQ387" s="92"/>
      <c r="AR387" s="92"/>
      <c r="AS387" s="92"/>
      <c r="AT387" s="92"/>
      <c r="AU387" s="92"/>
      <c r="AV387" s="92"/>
      <c r="AW387" s="92"/>
      <c r="AX387" s="92"/>
      <c r="AY387" s="92"/>
      <c r="AZ387" s="92"/>
      <c r="BA387" s="92"/>
      <c r="BB387" s="92"/>
    </row>
    <row r="388" spans="1:54" s="26" customFormat="1">
      <c r="A388" s="132"/>
      <c r="B388" s="133"/>
      <c r="C388" s="134"/>
      <c r="D388" s="134"/>
      <c r="AQ388" s="92"/>
      <c r="AR388" s="92"/>
      <c r="AS388" s="92"/>
      <c r="AT388" s="92"/>
      <c r="AU388" s="92"/>
      <c r="AV388" s="92"/>
      <c r="AW388" s="92"/>
      <c r="AX388" s="92"/>
      <c r="AY388" s="92"/>
      <c r="AZ388" s="92"/>
      <c r="BA388" s="92"/>
      <c r="BB388" s="92"/>
    </row>
    <row r="389" spans="1:54" s="26" customFormat="1">
      <c r="A389" s="132"/>
      <c r="B389" s="133"/>
      <c r="C389" s="134"/>
      <c r="D389" s="134"/>
      <c r="AQ389" s="92"/>
      <c r="AR389" s="92"/>
      <c r="AS389" s="92"/>
      <c r="AT389" s="92"/>
      <c r="AU389" s="92"/>
      <c r="AV389" s="92"/>
      <c r="AW389" s="92"/>
      <c r="AX389" s="92"/>
      <c r="AY389" s="92"/>
      <c r="AZ389" s="92"/>
      <c r="BA389" s="92"/>
      <c r="BB389" s="92"/>
    </row>
    <row r="390" spans="1:54" s="26" customFormat="1">
      <c r="A390" s="132"/>
      <c r="B390" s="133"/>
      <c r="C390" s="134"/>
      <c r="D390" s="134"/>
      <c r="AQ390" s="92"/>
      <c r="AR390" s="92"/>
      <c r="AS390" s="92"/>
      <c r="AT390" s="92"/>
      <c r="AU390" s="92"/>
      <c r="AV390" s="92"/>
      <c r="AW390" s="92"/>
      <c r="AX390" s="92"/>
      <c r="AY390" s="92"/>
      <c r="AZ390" s="92"/>
      <c r="BA390" s="92"/>
      <c r="BB390" s="92"/>
    </row>
    <row r="391" spans="1:54" s="26" customFormat="1">
      <c r="A391" s="132"/>
      <c r="B391" s="133"/>
      <c r="C391" s="134"/>
      <c r="D391" s="134"/>
      <c r="AQ391" s="92"/>
      <c r="AR391" s="92"/>
      <c r="AS391" s="92"/>
      <c r="AT391" s="92"/>
      <c r="AU391" s="92"/>
      <c r="AV391" s="92"/>
      <c r="AW391" s="92"/>
      <c r="AX391" s="92"/>
      <c r="AY391" s="92"/>
      <c r="AZ391" s="92"/>
      <c r="BA391" s="92"/>
      <c r="BB391" s="92"/>
    </row>
    <row r="392" spans="1:54" s="26" customFormat="1">
      <c r="A392" s="132"/>
      <c r="B392" s="133"/>
      <c r="C392" s="134"/>
      <c r="D392" s="134"/>
      <c r="AQ392" s="92"/>
      <c r="AR392" s="92"/>
      <c r="AS392" s="92"/>
      <c r="AT392" s="92"/>
      <c r="AU392" s="92"/>
      <c r="AV392" s="92"/>
      <c r="AW392" s="92"/>
      <c r="AX392" s="92"/>
      <c r="AY392" s="92"/>
      <c r="AZ392" s="92"/>
      <c r="BA392" s="92"/>
      <c r="BB392" s="92"/>
    </row>
    <row r="393" spans="1:54" s="26" customFormat="1">
      <c r="A393" s="132"/>
      <c r="B393" s="133"/>
      <c r="C393" s="134"/>
      <c r="D393" s="134"/>
      <c r="AQ393" s="92"/>
      <c r="AR393" s="92"/>
      <c r="AS393" s="92"/>
      <c r="AT393" s="92"/>
      <c r="AU393" s="92"/>
      <c r="AV393" s="92"/>
      <c r="AW393" s="92"/>
      <c r="AX393" s="92"/>
      <c r="AY393" s="92"/>
      <c r="AZ393" s="92"/>
      <c r="BA393" s="92"/>
      <c r="BB393" s="92"/>
    </row>
    <row r="394" spans="1:54" s="26" customFormat="1">
      <c r="A394" s="132"/>
      <c r="B394" s="133"/>
      <c r="C394" s="134"/>
      <c r="D394" s="134"/>
      <c r="AQ394" s="92"/>
      <c r="AR394" s="92"/>
      <c r="AS394" s="92"/>
      <c r="AT394" s="92"/>
      <c r="AU394" s="92"/>
      <c r="AV394" s="92"/>
      <c r="AW394" s="92"/>
      <c r="AX394" s="92"/>
      <c r="AY394" s="92"/>
      <c r="AZ394" s="92"/>
      <c r="BA394" s="92"/>
      <c r="BB394" s="92"/>
    </row>
    <row r="395" spans="1:54" s="26" customFormat="1">
      <c r="A395" s="132"/>
      <c r="B395" s="133"/>
      <c r="C395" s="134"/>
      <c r="D395" s="134"/>
      <c r="AQ395" s="92"/>
      <c r="AR395" s="92"/>
      <c r="AS395" s="92"/>
      <c r="AT395" s="92"/>
      <c r="AU395" s="92"/>
      <c r="AV395" s="92"/>
      <c r="AW395" s="92"/>
      <c r="AX395" s="92"/>
      <c r="AY395" s="92"/>
      <c r="AZ395" s="92"/>
      <c r="BA395" s="92"/>
      <c r="BB395" s="92"/>
    </row>
    <row r="396" spans="1:54" s="26" customFormat="1">
      <c r="A396" s="132"/>
      <c r="B396" s="133"/>
      <c r="C396" s="134"/>
      <c r="D396" s="134"/>
      <c r="AQ396" s="92"/>
      <c r="AR396" s="92"/>
      <c r="AS396" s="92"/>
      <c r="AT396" s="92"/>
      <c r="AU396" s="92"/>
      <c r="AV396" s="92"/>
      <c r="AW396" s="92"/>
      <c r="AX396" s="92"/>
      <c r="AY396" s="92"/>
      <c r="AZ396" s="92"/>
      <c r="BA396" s="92"/>
      <c r="BB396" s="92"/>
    </row>
    <row r="397" spans="1:54" s="26" customFormat="1">
      <c r="A397" s="132"/>
      <c r="B397" s="133"/>
      <c r="C397" s="134"/>
      <c r="D397" s="134"/>
      <c r="AQ397" s="92"/>
      <c r="AR397" s="92"/>
      <c r="AS397" s="92"/>
      <c r="AT397" s="92"/>
      <c r="AU397" s="92"/>
      <c r="AV397" s="92"/>
      <c r="AW397" s="92"/>
      <c r="AX397" s="92"/>
      <c r="AY397" s="92"/>
      <c r="AZ397" s="92"/>
      <c r="BA397" s="92"/>
      <c r="BB397" s="92"/>
    </row>
    <row r="398" spans="1:54" s="26" customFormat="1">
      <c r="A398" s="132"/>
      <c r="B398" s="133"/>
      <c r="C398" s="134"/>
      <c r="D398" s="134"/>
      <c r="AQ398" s="92"/>
      <c r="AR398" s="92"/>
      <c r="AS398" s="92"/>
      <c r="AT398" s="92"/>
      <c r="AU398" s="92"/>
      <c r="AV398" s="92"/>
      <c r="AW398" s="92"/>
      <c r="AX398" s="92"/>
      <c r="AY398" s="92"/>
      <c r="AZ398" s="92"/>
      <c r="BA398" s="92"/>
      <c r="BB398" s="92"/>
    </row>
    <row r="399" spans="1:54" s="26" customFormat="1">
      <c r="A399" s="132"/>
      <c r="B399" s="133"/>
      <c r="C399" s="134"/>
      <c r="D399" s="134"/>
      <c r="AQ399" s="92"/>
      <c r="AR399" s="92"/>
      <c r="AS399" s="92"/>
      <c r="AT399" s="92"/>
      <c r="AU399" s="92"/>
      <c r="AV399" s="92"/>
      <c r="AW399" s="92"/>
      <c r="AX399" s="92"/>
      <c r="AY399" s="92"/>
      <c r="AZ399" s="92"/>
      <c r="BA399" s="92"/>
      <c r="BB399" s="92"/>
    </row>
    <row r="400" spans="1:54" s="26" customFormat="1">
      <c r="A400" s="132"/>
      <c r="B400" s="133"/>
      <c r="C400" s="134"/>
      <c r="D400" s="134"/>
      <c r="AQ400" s="92"/>
      <c r="AR400" s="92"/>
      <c r="AS400" s="92"/>
      <c r="AT400" s="92"/>
      <c r="AU400" s="92"/>
      <c r="AV400" s="92"/>
      <c r="AW400" s="92"/>
      <c r="AX400" s="92"/>
      <c r="AY400" s="92"/>
      <c r="AZ400" s="92"/>
      <c r="BA400" s="92"/>
      <c r="BB400" s="92"/>
    </row>
    <row r="401" spans="1:54" s="26" customFormat="1">
      <c r="A401" s="132"/>
      <c r="B401" s="133"/>
      <c r="C401" s="134"/>
      <c r="D401" s="134"/>
      <c r="AQ401" s="92"/>
      <c r="AR401" s="92"/>
      <c r="AS401" s="92"/>
      <c r="AT401" s="92"/>
      <c r="AU401" s="92"/>
      <c r="AV401" s="92"/>
      <c r="AW401" s="92"/>
      <c r="AX401" s="92"/>
      <c r="AY401" s="92"/>
      <c r="AZ401" s="92"/>
      <c r="BA401" s="92"/>
      <c r="BB401" s="92"/>
    </row>
    <row r="402" spans="1:54" s="26" customFormat="1">
      <c r="A402" s="132"/>
      <c r="B402" s="133"/>
      <c r="C402" s="134"/>
      <c r="D402" s="134"/>
      <c r="AQ402" s="92"/>
      <c r="AR402" s="92"/>
      <c r="AS402" s="92"/>
      <c r="AT402" s="92"/>
      <c r="AU402" s="92"/>
      <c r="AV402" s="92"/>
      <c r="AW402" s="92"/>
      <c r="AX402" s="92"/>
      <c r="AY402" s="92"/>
      <c r="AZ402" s="92"/>
      <c r="BA402" s="92"/>
      <c r="BB402" s="92"/>
    </row>
    <row r="403" spans="1:54" s="26" customFormat="1">
      <c r="A403" s="132"/>
      <c r="B403" s="133"/>
      <c r="C403" s="134"/>
      <c r="D403" s="134"/>
      <c r="AQ403" s="92"/>
      <c r="AR403" s="92"/>
      <c r="AS403" s="92"/>
      <c r="AT403" s="92"/>
      <c r="AU403" s="92"/>
      <c r="AV403" s="92"/>
      <c r="AW403" s="92"/>
      <c r="AX403" s="92"/>
      <c r="AY403" s="92"/>
      <c r="AZ403" s="92"/>
      <c r="BA403" s="92"/>
      <c r="BB403" s="92"/>
    </row>
    <row r="404" spans="1:54" s="26" customFormat="1">
      <c r="A404" s="132"/>
      <c r="B404" s="133"/>
      <c r="C404" s="134"/>
      <c r="D404" s="134"/>
      <c r="AQ404" s="92"/>
      <c r="AR404" s="92"/>
      <c r="AS404" s="92"/>
      <c r="AT404" s="92"/>
      <c r="AU404" s="92"/>
      <c r="AV404" s="92"/>
      <c r="AW404" s="92"/>
      <c r="AX404" s="92"/>
      <c r="AY404" s="92"/>
      <c r="AZ404" s="92"/>
      <c r="BA404" s="92"/>
      <c r="BB404" s="92"/>
    </row>
    <row r="405" spans="1:54" s="26" customFormat="1">
      <c r="A405" s="132"/>
      <c r="B405" s="133"/>
      <c r="C405" s="134"/>
      <c r="D405" s="134"/>
      <c r="AQ405" s="92"/>
      <c r="AR405" s="92"/>
      <c r="AS405" s="92"/>
      <c r="AT405" s="92"/>
      <c r="AU405" s="92"/>
      <c r="AV405" s="92"/>
      <c r="AW405" s="92"/>
      <c r="AX405" s="92"/>
      <c r="AY405" s="92"/>
      <c r="AZ405" s="92"/>
      <c r="BA405" s="92"/>
      <c r="BB405" s="92"/>
    </row>
  </sheetData>
  <mergeCells count="54">
    <mergeCell ref="A1:O1"/>
    <mergeCell ref="A2:O2"/>
    <mergeCell ref="A3:AP3"/>
    <mergeCell ref="A4:AP4"/>
    <mergeCell ref="A5:AP5"/>
    <mergeCell ref="F6:AA6"/>
    <mergeCell ref="AB6:AO6"/>
    <mergeCell ref="F7:L7"/>
    <mergeCell ref="N7:T7"/>
    <mergeCell ref="U7:AA7"/>
    <mergeCell ref="AB7:AH7"/>
    <mergeCell ref="AI7:AO7"/>
    <mergeCell ref="G8:L8"/>
    <mergeCell ref="O8:T8"/>
    <mergeCell ref="V8:AA8"/>
    <mergeCell ref="AC8:AH8"/>
    <mergeCell ref="AJ8:AO8"/>
    <mergeCell ref="G9:K9"/>
    <mergeCell ref="O9:S9"/>
    <mergeCell ref="V9:Z9"/>
    <mergeCell ref="AC9:AG9"/>
    <mergeCell ref="AJ9:AN9"/>
    <mergeCell ref="B46:AP46"/>
    <mergeCell ref="B69:W69"/>
    <mergeCell ref="A6:A11"/>
    <mergeCell ref="B6:B11"/>
    <mergeCell ref="C6:C11"/>
    <mergeCell ref="D6:D11"/>
    <mergeCell ref="E6:E11"/>
    <mergeCell ref="F8:F11"/>
    <mergeCell ref="G10:G11"/>
    <mergeCell ref="L9:L11"/>
    <mergeCell ref="M7:M11"/>
    <mergeCell ref="N8:N11"/>
    <mergeCell ref="O10:O11"/>
    <mergeCell ref="T9:T11"/>
    <mergeCell ref="H10:K10"/>
    <mergeCell ref="P10:S10"/>
    <mergeCell ref="AO9:AO11"/>
    <mergeCell ref="AP6:AP11"/>
    <mergeCell ref="AQ7:AQ9"/>
    <mergeCell ref="B44:AP44"/>
    <mergeCell ref="B45:AP45"/>
    <mergeCell ref="W10:Z10"/>
    <mergeCell ref="AD10:AG10"/>
    <mergeCell ref="AK10:AN10"/>
    <mergeCell ref="U8:U11"/>
    <mergeCell ref="V10:V11"/>
    <mergeCell ref="AA9:AA11"/>
    <mergeCell ref="AB8:AB11"/>
    <mergeCell ref="AC10:AC11"/>
    <mergeCell ref="AH9:AH11"/>
    <mergeCell ref="AI8:AI11"/>
    <mergeCell ref="AJ10:AJ11"/>
  </mergeCells>
  <printOptions horizontalCentered="1"/>
  <pageMargins left="0.25" right="0.25" top="0.75" bottom="0.75" header="0.3" footer="0.3"/>
  <pageSetup paperSize="8" scale="50" fitToHeight="0" orientation="landscape"/>
  <headerFooter>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01"/>
  <sheetViews>
    <sheetView zoomScale="75" zoomScaleNormal="75" zoomScaleSheetLayoutView="75" workbookViewId="0">
      <selection sqref="A1:AC1"/>
    </sheetView>
  </sheetViews>
  <sheetFormatPr defaultColWidth="9.140625" defaultRowHeight="18.75"/>
  <cols>
    <col min="1" max="1" width="6" style="145" customWidth="1"/>
    <col min="2" max="2" width="31.28515625" style="133" customWidth="1"/>
    <col min="3" max="3" width="10" style="134" customWidth="1"/>
    <col min="4" max="4" width="10.140625" style="134" customWidth="1"/>
    <col min="5" max="5" width="9.42578125" style="134" customWidth="1"/>
    <col min="6" max="6" width="12" style="134" customWidth="1"/>
    <col min="7" max="7" width="11.7109375" style="26" customWidth="1"/>
    <col min="8" max="8" width="17.42578125" style="26" customWidth="1"/>
    <col min="9" max="9" width="12.42578125" style="26" customWidth="1"/>
    <col min="10" max="10" width="15.140625" style="26" customWidth="1"/>
    <col min="11" max="11" width="12.42578125" style="26" customWidth="1"/>
    <col min="12" max="12" width="15.140625" style="26" customWidth="1"/>
    <col min="13" max="13" width="12" style="26" customWidth="1"/>
    <col min="14" max="14" width="15.140625" style="26" customWidth="1"/>
    <col min="15" max="15" width="12.28515625" style="26" customWidth="1"/>
    <col min="16" max="16" width="15.140625" style="26" customWidth="1"/>
    <col min="17" max="17" width="12" style="26" customWidth="1"/>
    <col min="18" max="18" width="15.140625" style="26" customWidth="1"/>
    <col min="19" max="19" width="10.42578125" style="26" customWidth="1"/>
    <col min="20" max="16384" width="9.140625" style="92"/>
  </cols>
  <sheetData>
    <row r="1" spans="1:21" s="171" customFormat="1" ht="32.25" customHeight="1">
      <c r="A1" s="1201" t="s">
        <v>211</v>
      </c>
      <c r="B1" s="1201"/>
      <c r="C1" s="1201"/>
      <c r="D1" s="1201"/>
      <c r="E1" s="1201"/>
      <c r="F1" s="1201"/>
      <c r="G1" s="1201"/>
      <c r="H1" s="1201"/>
      <c r="I1" s="1201"/>
      <c r="J1" s="1201"/>
      <c r="L1" s="22"/>
      <c r="M1" s="22"/>
      <c r="N1" s="22"/>
      <c r="O1" s="1202" t="s">
        <v>1</v>
      </c>
      <c r="P1" s="1202"/>
      <c r="Q1" s="1202"/>
      <c r="R1" s="1202"/>
      <c r="S1" s="1202"/>
    </row>
    <row r="2" spans="1:21" s="171" customFormat="1" ht="32.25" customHeight="1">
      <c r="A2" s="1203" t="s">
        <v>2</v>
      </c>
      <c r="B2" s="1203"/>
      <c r="C2" s="1203"/>
      <c r="D2" s="1203"/>
      <c r="E2" s="1203"/>
      <c r="F2" s="1203"/>
      <c r="G2" s="1203"/>
      <c r="H2" s="1203"/>
      <c r="I2" s="1203"/>
      <c r="J2" s="1203"/>
      <c r="L2" s="24"/>
      <c r="M2" s="24"/>
      <c r="N2" s="24"/>
      <c r="O2" s="1204" t="s">
        <v>3</v>
      </c>
      <c r="P2" s="1204"/>
      <c r="Q2" s="1204"/>
      <c r="R2" s="1204"/>
      <c r="S2" s="1204"/>
    </row>
    <row r="3" spans="1:21" s="171" customFormat="1" ht="32.25" customHeight="1">
      <c r="A3" s="1260" t="s">
        <v>212</v>
      </c>
      <c r="B3" s="1260"/>
      <c r="C3" s="1260"/>
      <c r="D3" s="1260"/>
      <c r="E3" s="1260"/>
      <c r="F3" s="1260"/>
      <c r="G3" s="1260"/>
      <c r="H3" s="1260"/>
      <c r="I3" s="1260"/>
      <c r="J3" s="1260"/>
      <c r="K3" s="1260"/>
      <c r="L3" s="1260"/>
      <c r="M3" s="1260"/>
      <c r="N3" s="1260"/>
      <c r="O3" s="1260"/>
      <c r="P3" s="1260"/>
      <c r="Q3" s="1260"/>
      <c r="R3" s="1260"/>
      <c r="S3" s="1260"/>
    </row>
    <row r="4" spans="1:21" s="158" customFormat="1" ht="53.65" customHeight="1">
      <c r="A4" s="1258" t="s">
        <v>213</v>
      </c>
      <c r="B4" s="1258"/>
      <c r="C4" s="1258"/>
      <c r="D4" s="1258"/>
      <c r="E4" s="1258"/>
      <c r="F4" s="1258"/>
      <c r="G4" s="1258"/>
      <c r="H4" s="1258"/>
      <c r="I4" s="1258"/>
      <c r="J4" s="1258"/>
      <c r="K4" s="1258"/>
      <c r="L4" s="1258"/>
      <c r="M4" s="1258"/>
      <c r="N4" s="1258"/>
      <c r="O4" s="1258"/>
      <c r="P4" s="1258"/>
      <c r="Q4" s="1258"/>
      <c r="R4" s="1258"/>
      <c r="S4" s="1258"/>
    </row>
    <row r="5" spans="1:21" s="159" customFormat="1" ht="33" customHeight="1">
      <c r="A5" s="1259" t="s">
        <v>6</v>
      </c>
      <c r="B5" s="1259"/>
      <c r="C5" s="1259"/>
      <c r="D5" s="1259"/>
      <c r="E5" s="1259"/>
      <c r="F5" s="1259"/>
      <c r="G5" s="1259"/>
      <c r="H5" s="1259"/>
      <c r="I5" s="1259"/>
      <c r="J5" s="1259"/>
      <c r="K5" s="1259"/>
      <c r="L5" s="1259"/>
      <c r="M5" s="1259"/>
      <c r="N5" s="1259"/>
      <c r="O5" s="1259"/>
      <c r="P5" s="1259"/>
      <c r="Q5" s="1259"/>
      <c r="R5" s="1259"/>
      <c r="S5" s="1259"/>
    </row>
    <row r="6" spans="1:21" s="160" customFormat="1" ht="29.65" customHeight="1">
      <c r="A6" s="1256" t="s">
        <v>7</v>
      </c>
      <c r="B6" s="1241" t="s">
        <v>69</v>
      </c>
      <c r="C6" s="1241" t="s">
        <v>214</v>
      </c>
      <c r="D6" s="1241" t="s">
        <v>215</v>
      </c>
      <c r="E6" s="1241" t="s">
        <v>173</v>
      </c>
      <c r="F6" s="1241" t="s">
        <v>174</v>
      </c>
      <c r="G6" s="1241"/>
      <c r="H6" s="1241"/>
      <c r="I6" s="1250" t="s">
        <v>9</v>
      </c>
      <c r="J6" s="1250"/>
      <c r="K6" s="1250"/>
      <c r="L6" s="1250"/>
      <c r="M6" s="1250"/>
      <c r="N6" s="1250"/>
      <c r="O6" s="1250" t="s">
        <v>10</v>
      </c>
      <c r="P6" s="1250"/>
      <c r="Q6" s="1250"/>
      <c r="R6" s="1250"/>
      <c r="S6" s="1241" t="s">
        <v>11</v>
      </c>
    </row>
    <row r="7" spans="1:21" s="130" customFormat="1" ht="75" customHeight="1">
      <c r="A7" s="1256"/>
      <c r="B7" s="1241"/>
      <c r="C7" s="1241"/>
      <c r="D7" s="1241"/>
      <c r="E7" s="1241"/>
      <c r="F7" s="1241"/>
      <c r="G7" s="1241"/>
      <c r="H7" s="1241"/>
      <c r="I7" s="1241" t="s">
        <v>176</v>
      </c>
      <c r="J7" s="1241"/>
      <c r="K7" s="1241" t="s">
        <v>216</v>
      </c>
      <c r="L7" s="1241"/>
      <c r="M7" s="1241" t="s">
        <v>14</v>
      </c>
      <c r="N7" s="1241"/>
      <c r="O7" s="1241" t="s">
        <v>217</v>
      </c>
      <c r="P7" s="1241"/>
      <c r="Q7" s="1241" t="s">
        <v>16</v>
      </c>
      <c r="R7" s="1241"/>
      <c r="S7" s="1241"/>
    </row>
    <row r="8" spans="1:21" s="130" customFormat="1" ht="39" customHeight="1">
      <c r="A8" s="1256"/>
      <c r="B8" s="1241"/>
      <c r="C8" s="1241"/>
      <c r="D8" s="1241"/>
      <c r="E8" s="1241"/>
      <c r="F8" s="1241" t="s">
        <v>218</v>
      </c>
      <c r="G8" s="1241" t="s">
        <v>73</v>
      </c>
      <c r="H8" s="1241"/>
      <c r="I8" s="1241" t="s">
        <v>74</v>
      </c>
      <c r="J8" s="1241" t="s">
        <v>219</v>
      </c>
      <c r="K8" s="1241" t="s">
        <v>74</v>
      </c>
      <c r="L8" s="1241" t="s">
        <v>219</v>
      </c>
      <c r="M8" s="1241" t="s">
        <v>74</v>
      </c>
      <c r="N8" s="1241" t="s">
        <v>219</v>
      </c>
      <c r="O8" s="1241" t="s">
        <v>74</v>
      </c>
      <c r="P8" s="1241" t="s">
        <v>219</v>
      </c>
      <c r="Q8" s="1241" t="s">
        <v>74</v>
      </c>
      <c r="R8" s="1241" t="s">
        <v>219</v>
      </c>
      <c r="S8" s="1241"/>
    </row>
    <row r="9" spans="1:21" s="130" customFormat="1" ht="41.25" customHeight="1">
      <c r="A9" s="1256"/>
      <c r="B9" s="1241"/>
      <c r="C9" s="1241"/>
      <c r="D9" s="1241"/>
      <c r="E9" s="1241"/>
      <c r="F9" s="1241"/>
      <c r="G9" s="1241" t="s">
        <v>74</v>
      </c>
      <c r="H9" s="1241" t="s">
        <v>219</v>
      </c>
      <c r="I9" s="1241"/>
      <c r="J9" s="1241"/>
      <c r="K9" s="1241"/>
      <c r="L9" s="1241"/>
      <c r="M9" s="1241"/>
      <c r="N9" s="1241"/>
      <c r="O9" s="1241"/>
      <c r="P9" s="1241"/>
      <c r="Q9" s="1241"/>
      <c r="R9" s="1241"/>
      <c r="S9" s="1241"/>
    </row>
    <row r="10" spans="1:21" s="130" customFormat="1" ht="74.25" customHeight="1">
      <c r="A10" s="1256"/>
      <c r="B10" s="1241"/>
      <c r="C10" s="1241"/>
      <c r="D10" s="1241"/>
      <c r="E10" s="1241"/>
      <c r="F10" s="1241"/>
      <c r="G10" s="1257"/>
      <c r="H10" s="1241"/>
      <c r="I10" s="1241"/>
      <c r="J10" s="1241"/>
      <c r="K10" s="1241"/>
      <c r="L10" s="1241"/>
      <c r="M10" s="1241"/>
      <c r="N10" s="1241"/>
      <c r="O10" s="1241"/>
      <c r="P10" s="1241"/>
      <c r="Q10" s="1241"/>
      <c r="R10" s="1241"/>
      <c r="S10" s="1241"/>
    </row>
    <row r="11" spans="1:21" s="131" customFormat="1" ht="30.75" customHeight="1">
      <c r="A11" s="147">
        <v>1</v>
      </c>
      <c r="B11" s="2">
        <v>2</v>
      </c>
      <c r="C11" s="147">
        <v>3</v>
      </c>
      <c r="D11" s="2">
        <v>4</v>
      </c>
      <c r="E11" s="147">
        <v>5</v>
      </c>
      <c r="F11" s="2">
        <v>6</v>
      </c>
      <c r="G11" s="147">
        <v>7</v>
      </c>
      <c r="H11" s="2">
        <v>8</v>
      </c>
      <c r="I11" s="147">
        <v>9</v>
      </c>
      <c r="J11" s="2">
        <v>10</v>
      </c>
      <c r="K11" s="147">
        <v>11</v>
      </c>
      <c r="L11" s="2">
        <v>12</v>
      </c>
      <c r="M11" s="147">
        <v>13</v>
      </c>
      <c r="N11" s="2">
        <v>14</v>
      </c>
      <c r="O11" s="147">
        <v>15</v>
      </c>
      <c r="P11" s="2">
        <v>16</v>
      </c>
      <c r="Q11" s="147">
        <v>17</v>
      </c>
      <c r="R11" s="2">
        <v>18</v>
      </c>
      <c r="S11" s="147">
        <v>19</v>
      </c>
    </row>
    <row r="12" spans="1:21" s="131" customFormat="1" ht="36" customHeight="1">
      <c r="A12" s="148"/>
      <c r="B12" s="135" t="s">
        <v>27</v>
      </c>
      <c r="C12" s="2"/>
      <c r="D12" s="2"/>
      <c r="E12" s="2"/>
      <c r="F12" s="2"/>
      <c r="G12" s="2"/>
      <c r="H12" s="2"/>
      <c r="I12" s="2"/>
      <c r="J12" s="2"/>
      <c r="K12" s="2"/>
      <c r="L12" s="2"/>
      <c r="M12" s="2"/>
      <c r="N12" s="2"/>
      <c r="O12" s="2"/>
      <c r="P12" s="2"/>
      <c r="Q12" s="2"/>
      <c r="R12" s="2"/>
      <c r="S12" s="2"/>
    </row>
    <row r="13" spans="1:21" ht="57" customHeight="1">
      <c r="A13" s="15" t="s">
        <v>95</v>
      </c>
      <c r="B13" s="17" t="s">
        <v>220</v>
      </c>
      <c r="C13" s="105"/>
      <c r="D13" s="105"/>
      <c r="E13" s="105"/>
      <c r="F13" s="105"/>
      <c r="G13" s="106"/>
      <c r="H13" s="106"/>
      <c r="I13" s="106"/>
      <c r="J13" s="106"/>
      <c r="K13" s="106"/>
      <c r="L13" s="106"/>
      <c r="M13" s="106"/>
      <c r="N13" s="106"/>
      <c r="O13" s="106"/>
      <c r="P13" s="106"/>
      <c r="Q13" s="106"/>
      <c r="R13" s="106"/>
      <c r="S13" s="106"/>
    </row>
    <row r="14" spans="1:21" ht="70.150000000000006" customHeight="1">
      <c r="A14" s="15" t="s">
        <v>28</v>
      </c>
      <c r="B14" s="104" t="s">
        <v>187</v>
      </c>
      <c r="C14" s="105"/>
      <c r="D14" s="105"/>
      <c r="E14" s="105"/>
      <c r="F14" s="105"/>
      <c r="G14" s="106"/>
      <c r="H14" s="106"/>
      <c r="I14" s="106"/>
      <c r="J14" s="106"/>
      <c r="K14" s="106"/>
      <c r="L14" s="106"/>
      <c r="M14" s="106"/>
      <c r="N14" s="106"/>
      <c r="O14" s="106"/>
      <c r="P14" s="106"/>
      <c r="Q14" s="106"/>
      <c r="R14" s="106"/>
      <c r="S14" s="106"/>
      <c r="T14" s="106"/>
      <c r="U14" s="106"/>
    </row>
    <row r="15" spans="1:21" s="93" customFormat="1" ht="73.900000000000006" customHeight="1">
      <c r="A15" s="107" t="s">
        <v>188</v>
      </c>
      <c r="B15" s="108" t="s">
        <v>189</v>
      </c>
      <c r="C15" s="109"/>
      <c r="D15" s="109"/>
      <c r="E15" s="109"/>
      <c r="F15" s="109"/>
      <c r="G15" s="110"/>
      <c r="H15" s="110"/>
      <c r="I15" s="110"/>
      <c r="J15" s="110"/>
      <c r="K15" s="110"/>
      <c r="L15" s="110"/>
      <c r="M15" s="110"/>
      <c r="N15" s="110"/>
      <c r="O15" s="110"/>
      <c r="P15" s="110"/>
      <c r="Q15" s="110"/>
      <c r="R15" s="110"/>
      <c r="S15" s="110"/>
      <c r="T15" s="110"/>
      <c r="U15" s="110"/>
    </row>
    <row r="16" spans="1:21" ht="24.4" customHeight="1">
      <c r="A16" s="111" t="s">
        <v>190</v>
      </c>
      <c r="B16" s="20" t="s">
        <v>191</v>
      </c>
      <c r="C16" s="105"/>
      <c r="D16" s="105"/>
      <c r="E16" s="105"/>
      <c r="F16" s="105"/>
      <c r="G16" s="106"/>
      <c r="H16" s="106"/>
      <c r="I16" s="106"/>
      <c r="J16" s="106"/>
      <c r="K16" s="106"/>
      <c r="L16" s="106"/>
      <c r="M16" s="106"/>
      <c r="N16" s="106"/>
      <c r="O16" s="106"/>
      <c r="P16" s="106"/>
      <c r="Q16" s="106"/>
      <c r="R16" s="106"/>
      <c r="S16" s="106"/>
      <c r="T16" s="106"/>
      <c r="U16" s="106"/>
    </row>
    <row r="17" spans="1:21" ht="24.4" customHeight="1">
      <c r="A17" s="111" t="s">
        <v>192</v>
      </c>
      <c r="B17" s="189" t="s">
        <v>193</v>
      </c>
      <c r="C17" s="105"/>
      <c r="D17" s="105"/>
      <c r="E17" s="105"/>
      <c r="F17" s="105"/>
      <c r="G17" s="106"/>
      <c r="H17" s="106"/>
      <c r="I17" s="106"/>
      <c r="J17" s="106"/>
      <c r="K17" s="106"/>
      <c r="L17" s="106"/>
      <c r="M17" s="106"/>
      <c r="N17" s="106"/>
      <c r="O17" s="106"/>
      <c r="P17" s="106"/>
      <c r="Q17" s="106"/>
      <c r="R17" s="106"/>
      <c r="S17" s="106"/>
      <c r="T17" s="106"/>
      <c r="U17" s="106"/>
    </row>
    <row r="18" spans="1:21" s="93" customFormat="1" ht="67.150000000000006" customHeight="1">
      <c r="A18" s="107" t="s">
        <v>194</v>
      </c>
      <c r="B18" s="108" t="s">
        <v>195</v>
      </c>
      <c r="C18" s="109"/>
      <c r="D18" s="109"/>
      <c r="E18" s="109"/>
      <c r="F18" s="109"/>
      <c r="G18" s="110"/>
      <c r="H18" s="110"/>
      <c r="I18" s="110"/>
      <c r="J18" s="110"/>
      <c r="K18" s="110"/>
      <c r="L18" s="110"/>
      <c r="M18" s="110"/>
      <c r="N18" s="110"/>
      <c r="O18" s="110"/>
      <c r="P18" s="110"/>
      <c r="Q18" s="110"/>
      <c r="R18" s="110"/>
      <c r="S18" s="110"/>
      <c r="T18" s="110"/>
      <c r="U18" s="110"/>
    </row>
    <row r="19" spans="1:21" s="94" customFormat="1" ht="52.15" customHeight="1">
      <c r="A19" s="111"/>
      <c r="B19" s="20" t="s">
        <v>196</v>
      </c>
      <c r="C19" s="112"/>
      <c r="D19" s="112"/>
      <c r="E19" s="112"/>
      <c r="F19" s="112"/>
      <c r="G19" s="113"/>
      <c r="H19" s="113"/>
      <c r="I19" s="113"/>
      <c r="J19" s="113"/>
      <c r="K19" s="113"/>
      <c r="L19" s="113"/>
      <c r="M19" s="113"/>
      <c r="N19" s="113"/>
      <c r="O19" s="113"/>
      <c r="P19" s="113"/>
      <c r="Q19" s="113"/>
      <c r="R19" s="113"/>
      <c r="S19" s="113"/>
      <c r="T19" s="113"/>
      <c r="U19" s="113"/>
    </row>
    <row r="20" spans="1:21" s="95" customFormat="1" ht="60" customHeight="1">
      <c r="A20" s="107" t="s">
        <v>197</v>
      </c>
      <c r="B20" s="108" t="s">
        <v>198</v>
      </c>
      <c r="C20" s="114"/>
      <c r="D20" s="114"/>
      <c r="E20" s="114"/>
      <c r="F20" s="114"/>
      <c r="G20" s="115"/>
      <c r="H20" s="115"/>
      <c r="I20" s="115"/>
      <c r="J20" s="115"/>
      <c r="K20" s="115"/>
      <c r="L20" s="115"/>
      <c r="M20" s="115"/>
      <c r="N20" s="115"/>
      <c r="O20" s="115"/>
      <c r="P20" s="115"/>
      <c r="Q20" s="115"/>
      <c r="R20" s="115"/>
      <c r="S20" s="115"/>
      <c r="T20" s="115"/>
      <c r="U20" s="115"/>
    </row>
    <row r="21" spans="1:21" s="95" customFormat="1" ht="84" customHeight="1">
      <c r="A21" s="107"/>
      <c r="B21" s="190" t="s">
        <v>199</v>
      </c>
      <c r="C21" s="114"/>
      <c r="D21" s="114"/>
      <c r="E21" s="114"/>
      <c r="F21" s="114"/>
      <c r="G21" s="115"/>
      <c r="H21" s="115"/>
      <c r="I21" s="115"/>
      <c r="J21" s="115"/>
      <c r="K21" s="115"/>
      <c r="L21" s="115"/>
      <c r="M21" s="115"/>
      <c r="N21" s="115"/>
      <c r="O21" s="115"/>
      <c r="P21" s="115"/>
      <c r="Q21" s="115"/>
      <c r="R21" s="115"/>
      <c r="S21" s="115"/>
      <c r="T21" s="115"/>
      <c r="U21" s="115"/>
    </row>
    <row r="22" spans="1:21" s="95" customFormat="1" ht="58.9" customHeight="1">
      <c r="A22" s="107"/>
      <c r="B22" s="20" t="s">
        <v>196</v>
      </c>
      <c r="C22" s="114"/>
      <c r="D22" s="114"/>
      <c r="E22" s="114"/>
      <c r="F22" s="114"/>
      <c r="G22" s="115"/>
      <c r="H22" s="115"/>
      <c r="I22" s="115"/>
      <c r="J22" s="115"/>
      <c r="K22" s="115"/>
      <c r="L22" s="115"/>
      <c r="M22" s="115"/>
      <c r="N22" s="115"/>
      <c r="O22" s="115"/>
      <c r="P22" s="115"/>
      <c r="Q22" s="115"/>
      <c r="R22" s="115"/>
      <c r="S22" s="115"/>
      <c r="T22" s="115"/>
      <c r="U22" s="115"/>
    </row>
    <row r="23" spans="1:21" s="93" customFormat="1" ht="52.9" customHeight="1">
      <c r="A23" s="107"/>
      <c r="B23" s="190" t="s">
        <v>200</v>
      </c>
      <c r="C23" s="109"/>
      <c r="D23" s="109"/>
      <c r="E23" s="109"/>
      <c r="F23" s="109"/>
      <c r="G23" s="110"/>
      <c r="H23" s="110"/>
      <c r="I23" s="110"/>
      <c r="J23" s="110"/>
      <c r="K23" s="110"/>
      <c r="L23" s="110"/>
      <c r="M23" s="110"/>
      <c r="N23" s="110"/>
      <c r="O23" s="110"/>
      <c r="P23" s="110"/>
      <c r="Q23" s="110"/>
      <c r="R23" s="110"/>
      <c r="S23" s="110"/>
      <c r="T23" s="110"/>
      <c r="U23" s="110"/>
    </row>
    <row r="24" spans="1:21" s="94" customFormat="1" ht="54" customHeight="1">
      <c r="A24" s="111"/>
      <c r="B24" s="20" t="s">
        <v>196</v>
      </c>
      <c r="C24" s="112"/>
      <c r="D24" s="112"/>
      <c r="E24" s="112"/>
      <c r="F24" s="112"/>
      <c r="G24" s="113"/>
      <c r="H24" s="113"/>
      <c r="I24" s="113"/>
      <c r="J24" s="113"/>
      <c r="K24" s="113"/>
      <c r="L24" s="113"/>
      <c r="M24" s="113"/>
      <c r="N24" s="113"/>
      <c r="O24" s="113"/>
      <c r="P24" s="113"/>
      <c r="Q24" s="113"/>
      <c r="R24" s="113"/>
      <c r="S24" s="113"/>
      <c r="T24" s="113"/>
      <c r="U24" s="113"/>
    </row>
    <row r="25" spans="1:21" s="95" customFormat="1" ht="63" customHeight="1">
      <c r="A25" s="107" t="s">
        <v>221</v>
      </c>
      <c r="B25" s="108" t="s">
        <v>222</v>
      </c>
      <c r="C25" s="114"/>
      <c r="D25" s="114"/>
      <c r="E25" s="114"/>
      <c r="F25" s="114"/>
      <c r="G25" s="115"/>
      <c r="H25" s="115"/>
      <c r="I25" s="115"/>
      <c r="J25" s="115"/>
      <c r="K25" s="115"/>
      <c r="L25" s="115"/>
      <c r="M25" s="115"/>
      <c r="N25" s="115"/>
      <c r="O25" s="115"/>
      <c r="P25" s="115"/>
      <c r="Q25" s="115"/>
      <c r="R25" s="115"/>
      <c r="S25" s="115"/>
      <c r="T25" s="115"/>
      <c r="U25" s="115"/>
    </row>
    <row r="26" spans="1:21" s="95" customFormat="1" ht="61.15" customHeight="1">
      <c r="A26" s="107"/>
      <c r="B26" s="190" t="s">
        <v>223</v>
      </c>
      <c r="C26" s="114"/>
      <c r="D26" s="114"/>
      <c r="E26" s="114"/>
      <c r="F26" s="114"/>
      <c r="G26" s="115"/>
      <c r="H26" s="115"/>
      <c r="I26" s="115"/>
      <c r="J26" s="115"/>
      <c r="K26" s="115"/>
      <c r="L26" s="115"/>
      <c r="M26" s="115"/>
      <c r="N26" s="115"/>
      <c r="O26" s="115"/>
      <c r="P26" s="115"/>
      <c r="Q26" s="115"/>
      <c r="R26" s="115"/>
      <c r="S26" s="115"/>
      <c r="T26" s="115"/>
      <c r="U26" s="115"/>
    </row>
    <row r="27" spans="1:21" s="94" customFormat="1" ht="60" customHeight="1">
      <c r="A27" s="111"/>
      <c r="B27" s="20" t="s">
        <v>196</v>
      </c>
      <c r="C27" s="112"/>
      <c r="D27" s="112"/>
      <c r="E27" s="112"/>
      <c r="F27" s="112"/>
      <c r="G27" s="113"/>
      <c r="H27" s="113"/>
      <c r="I27" s="113"/>
      <c r="J27" s="113"/>
      <c r="K27" s="113"/>
      <c r="L27" s="113"/>
      <c r="M27" s="113"/>
      <c r="N27" s="113"/>
      <c r="O27" s="113"/>
      <c r="P27" s="113"/>
      <c r="Q27" s="113"/>
      <c r="R27" s="113"/>
      <c r="S27" s="113"/>
      <c r="T27" s="113"/>
      <c r="U27" s="113"/>
    </row>
    <row r="28" spans="1:21" s="95" customFormat="1" ht="55.9" customHeight="1">
      <c r="A28" s="107"/>
      <c r="B28" s="190" t="s">
        <v>224</v>
      </c>
      <c r="C28" s="114"/>
      <c r="D28" s="114"/>
      <c r="E28" s="114"/>
      <c r="F28" s="114"/>
      <c r="G28" s="115"/>
      <c r="H28" s="115"/>
      <c r="I28" s="115"/>
      <c r="J28" s="115"/>
      <c r="K28" s="115"/>
      <c r="L28" s="115"/>
      <c r="M28" s="115"/>
      <c r="N28" s="115"/>
      <c r="O28" s="115"/>
      <c r="P28" s="115"/>
      <c r="Q28" s="115"/>
      <c r="R28" s="115"/>
      <c r="S28" s="115"/>
      <c r="T28" s="115"/>
      <c r="U28" s="115"/>
    </row>
    <row r="29" spans="1:21" s="94" customFormat="1" ht="54" customHeight="1">
      <c r="A29" s="111"/>
      <c r="B29" s="20" t="s">
        <v>196</v>
      </c>
      <c r="C29" s="112"/>
      <c r="D29" s="112"/>
      <c r="E29" s="112"/>
      <c r="F29" s="112"/>
      <c r="G29" s="113"/>
      <c r="H29" s="113"/>
      <c r="I29" s="113"/>
      <c r="J29" s="113"/>
      <c r="K29" s="113"/>
      <c r="L29" s="113"/>
      <c r="M29" s="113"/>
      <c r="N29" s="113"/>
      <c r="O29" s="113"/>
      <c r="P29" s="113"/>
      <c r="Q29" s="113"/>
      <c r="R29" s="113"/>
      <c r="S29" s="113"/>
      <c r="T29" s="113"/>
      <c r="U29" s="113"/>
    </row>
    <row r="30" spans="1:21" s="94" customFormat="1" ht="48" customHeight="1">
      <c r="A30" s="15" t="s">
        <v>30</v>
      </c>
      <c r="B30" s="104" t="s">
        <v>201</v>
      </c>
      <c r="C30" s="112"/>
      <c r="D30" s="112"/>
      <c r="E30" s="112"/>
      <c r="F30" s="112"/>
      <c r="G30" s="113"/>
      <c r="H30" s="113"/>
      <c r="I30" s="113"/>
      <c r="J30" s="113"/>
      <c r="K30" s="113"/>
      <c r="L30" s="113"/>
      <c r="M30" s="113"/>
      <c r="N30" s="113"/>
      <c r="O30" s="113"/>
      <c r="P30" s="113"/>
      <c r="Q30" s="113"/>
      <c r="R30" s="113"/>
      <c r="S30" s="113"/>
      <c r="T30" s="113"/>
      <c r="U30" s="113"/>
    </row>
    <row r="31" spans="1:21" s="93" customFormat="1" ht="63.4" customHeight="1">
      <c r="A31" s="107" t="s">
        <v>188</v>
      </c>
      <c r="B31" s="108" t="s">
        <v>202</v>
      </c>
      <c r="C31" s="109"/>
      <c r="D31" s="109"/>
      <c r="E31" s="109"/>
      <c r="F31" s="109"/>
      <c r="G31" s="110"/>
      <c r="H31" s="110"/>
      <c r="I31" s="110"/>
      <c r="J31" s="110"/>
      <c r="K31" s="110"/>
      <c r="L31" s="110"/>
      <c r="M31" s="110"/>
      <c r="N31" s="110"/>
      <c r="O31" s="110"/>
      <c r="P31" s="110"/>
      <c r="Q31" s="110"/>
      <c r="R31" s="110"/>
      <c r="S31" s="110"/>
      <c r="T31" s="110"/>
      <c r="U31" s="110"/>
    </row>
    <row r="32" spans="1:21" ht="54" customHeight="1">
      <c r="A32" s="111"/>
      <c r="B32" s="20" t="s">
        <v>196</v>
      </c>
      <c r="C32" s="105"/>
      <c r="D32" s="105"/>
      <c r="E32" s="105"/>
      <c r="F32" s="105"/>
      <c r="G32" s="106"/>
      <c r="H32" s="106"/>
      <c r="I32" s="106"/>
      <c r="J32" s="106"/>
      <c r="K32" s="106"/>
      <c r="L32" s="106"/>
      <c r="M32" s="106"/>
      <c r="N32" s="106"/>
      <c r="O32" s="106"/>
      <c r="P32" s="106"/>
      <c r="Q32" s="106"/>
      <c r="R32" s="106"/>
      <c r="S32" s="106"/>
      <c r="T32" s="106"/>
      <c r="U32" s="106"/>
    </row>
    <row r="33" spans="1:21" s="95" customFormat="1" ht="48.4" customHeight="1">
      <c r="A33" s="107" t="s">
        <v>194</v>
      </c>
      <c r="B33" s="108" t="s">
        <v>198</v>
      </c>
      <c r="C33" s="114"/>
      <c r="D33" s="114"/>
      <c r="E33" s="114"/>
      <c r="F33" s="114"/>
      <c r="G33" s="115"/>
      <c r="H33" s="115"/>
      <c r="I33" s="115"/>
      <c r="J33" s="115"/>
      <c r="K33" s="115"/>
      <c r="L33" s="115"/>
      <c r="M33" s="115"/>
      <c r="N33" s="115"/>
      <c r="O33" s="115"/>
      <c r="P33" s="115"/>
      <c r="Q33" s="115"/>
      <c r="R33" s="115"/>
      <c r="S33" s="115"/>
      <c r="T33" s="115"/>
      <c r="U33" s="115"/>
    </row>
    <row r="34" spans="1:21" s="95" customFormat="1" ht="78" customHeight="1">
      <c r="A34" s="107"/>
      <c r="B34" s="190" t="s">
        <v>199</v>
      </c>
      <c r="C34" s="114"/>
      <c r="D34" s="114"/>
      <c r="E34" s="114"/>
      <c r="F34" s="114"/>
      <c r="G34" s="115"/>
      <c r="H34" s="115"/>
      <c r="I34" s="115"/>
      <c r="J34" s="115"/>
      <c r="K34" s="115"/>
      <c r="L34" s="115"/>
      <c r="M34" s="115"/>
      <c r="N34" s="115"/>
      <c r="O34" s="115"/>
      <c r="P34" s="115"/>
      <c r="Q34" s="115"/>
      <c r="R34" s="115"/>
      <c r="S34" s="115"/>
      <c r="T34" s="115"/>
      <c r="U34" s="115"/>
    </row>
    <row r="35" spans="1:21" s="95" customFormat="1" ht="49.15" customHeight="1">
      <c r="A35" s="107"/>
      <c r="B35" s="20" t="s">
        <v>196</v>
      </c>
      <c r="C35" s="114"/>
      <c r="D35" s="114"/>
      <c r="E35" s="114"/>
      <c r="F35" s="114"/>
      <c r="G35" s="115"/>
      <c r="H35" s="115"/>
      <c r="I35" s="115"/>
      <c r="J35" s="115"/>
      <c r="K35" s="115"/>
      <c r="L35" s="115"/>
      <c r="M35" s="115"/>
      <c r="N35" s="115"/>
      <c r="O35" s="115"/>
      <c r="P35" s="115"/>
      <c r="Q35" s="115"/>
      <c r="R35" s="115"/>
      <c r="S35" s="115"/>
      <c r="T35" s="115"/>
      <c r="U35" s="115"/>
    </row>
    <row r="36" spans="1:21" s="93" customFormat="1" ht="49.15" customHeight="1">
      <c r="A36" s="107"/>
      <c r="B36" s="190" t="s">
        <v>200</v>
      </c>
      <c r="C36" s="109"/>
      <c r="D36" s="109"/>
      <c r="E36" s="109"/>
      <c r="F36" s="109"/>
      <c r="G36" s="110"/>
      <c r="H36" s="110"/>
      <c r="I36" s="110"/>
      <c r="J36" s="110"/>
      <c r="K36" s="110"/>
      <c r="L36" s="110"/>
      <c r="M36" s="110"/>
      <c r="N36" s="110"/>
      <c r="O36" s="110"/>
      <c r="P36" s="110"/>
      <c r="Q36" s="110"/>
      <c r="R36" s="110"/>
      <c r="S36" s="110"/>
      <c r="T36" s="110"/>
      <c r="U36" s="110"/>
    </row>
    <row r="37" spans="1:21" s="94" customFormat="1" ht="49.9" customHeight="1">
      <c r="A37" s="111"/>
      <c r="B37" s="20" t="s">
        <v>196</v>
      </c>
      <c r="C37" s="112"/>
      <c r="D37" s="112"/>
      <c r="E37" s="112"/>
      <c r="F37" s="112"/>
      <c r="G37" s="113"/>
      <c r="H37" s="113"/>
      <c r="I37" s="113"/>
      <c r="J37" s="113"/>
      <c r="K37" s="113"/>
      <c r="L37" s="113"/>
      <c r="M37" s="113"/>
      <c r="N37" s="113"/>
      <c r="O37" s="113"/>
      <c r="P37" s="113"/>
      <c r="Q37" s="113"/>
      <c r="R37" s="113"/>
      <c r="S37" s="113"/>
      <c r="T37" s="113"/>
      <c r="U37" s="113"/>
    </row>
    <row r="38" spans="1:21" s="93" customFormat="1" ht="82.9" customHeight="1">
      <c r="A38" s="107"/>
      <c r="B38" s="190" t="s">
        <v>225</v>
      </c>
      <c r="C38" s="109"/>
      <c r="D38" s="109"/>
      <c r="E38" s="109"/>
      <c r="F38" s="109"/>
      <c r="G38" s="110"/>
      <c r="H38" s="110"/>
      <c r="I38" s="110"/>
      <c r="J38" s="110"/>
      <c r="K38" s="110"/>
      <c r="L38" s="110"/>
      <c r="M38" s="110"/>
      <c r="N38" s="110"/>
      <c r="O38" s="110"/>
      <c r="P38" s="110"/>
      <c r="Q38" s="110"/>
      <c r="R38" s="110"/>
      <c r="S38" s="110"/>
      <c r="T38" s="110"/>
      <c r="U38" s="110"/>
    </row>
    <row r="39" spans="1:21" s="95" customFormat="1" ht="67.150000000000006" customHeight="1">
      <c r="A39" s="116"/>
      <c r="B39" s="191" t="s">
        <v>226</v>
      </c>
      <c r="C39" s="114"/>
      <c r="D39" s="114"/>
      <c r="E39" s="114"/>
      <c r="F39" s="114"/>
      <c r="G39" s="115"/>
      <c r="H39" s="115"/>
      <c r="I39" s="115"/>
      <c r="J39" s="115"/>
      <c r="K39" s="115"/>
      <c r="L39" s="115"/>
      <c r="M39" s="115"/>
      <c r="N39" s="115"/>
      <c r="O39" s="115"/>
      <c r="P39" s="115"/>
      <c r="Q39" s="115"/>
      <c r="R39" s="115"/>
      <c r="S39" s="115"/>
      <c r="T39" s="115"/>
      <c r="U39" s="115"/>
    </row>
    <row r="40" spans="1:21" ht="42.4" customHeight="1">
      <c r="A40" s="111"/>
      <c r="B40" s="20" t="s">
        <v>196</v>
      </c>
      <c r="C40" s="105"/>
      <c r="D40" s="105"/>
      <c r="E40" s="105"/>
      <c r="F40" s="105"/>
      <c r="G40" s="106"/>
      <c r="H40" s="106"/>
      <c r="I40" s="106"/>
      <c r="J40" s="106"/>
      <c r="K40" s="106"/>
      <c r="L40" s="106"/>
      <c r="M40" s="106"/>
      <c r="N40" s="106"/>
      <c r="O40" s="106"/>
      <c r="P40" s="106"/>
      <c r="Q40" s="106"/>
      <c r="R40" s="106"/>
      <c r="S40" s="106"/>
      <c r="T40" s="106"/>
      <c r="U40" s="106"/>
    </row>
    <row r="41" spans="1:21" s="95" customFormat="1" ht="46.9" customHeight="1">
      <c r="A41" s="116"/>
      <c r="B41" s="191" t="s">
        <v>227</v>
      </c>
      <c r="C41" s="114"/>
      <c r="D41" s="114"/>
      <c r="E41" s="114"/>
      <c r="F41" s="114"/>
      <c r="G41" s="115"/>
      <c r="H41" s="115"/>
      <c r="I41" s="115"/>
      <c r="J41" s="115"/>
      <c r="K41" s="115"/>
      <c r="L41" s="115"/>
      <c r="M41" s="115"/>
      <c r="N41" s="115"/>
      <c r="O41" s="115"/>
      <c r="P41" s="115"/>
      <c r="Q41" s="115"/>
      <c r="R41" s="115"/>
      <c r="S41" s="115"/>
      <c r="T41" s="115"/>
      <c r="U41" s="115"/>
    </row>
    <row r="42" spans="1:21" ht="51" customHeight="1">
      <c r="A42" s="111"/>
      <c r="B42" s="20" t="s">
        <v>196</v>
      </c>
      <c r="C42" s="105"/>
      <c r="D42" s="105"/>
      <c r="E42" s="105"/>
      <c r="F42" s="105"/>
      <c r="G42" s="106"/>
      <c r="H42" s="106"/>
      <c r="I42" s="106"/>
      <c r="J42" s="106"/>
      <c r="K42" s="106"/>
      <c r="L42" s="106"/>
      <c r="M42" s="106"/>
      <c r="N42" s="106"/>
      <c r="O42" s="106"/>
      <c r="P42" s="106"/>
      <c r="Q42" s="106"/>
      <c r="R42" s="106"/>
      <c r="S42" s="106"/>
      <c r="T42" s="106"/>
      <c r="U42" s="106"/>
    </row>
    <row r="43" spans="1:21" ht="46.9" customHeight="1">
      <c r="A43" s="15" t="s">
        <v>32</v>
      </c>
      <c r="B43" s="104" t="s">
        <v>203</v>
      </c>
      <c r="C43" s="105"/>
      <c r="D43" s="105"/>
      <c r="E43" s="105"/>
      <c r="F43" s="105"/>
      <c r="G43" s="106"/>
      <c r="H43" s="106"/>
      <c r="I43" s="106"/>
      <c r="J43" s="106"/>
      <c r="K43" s="106"/>
      <c r="L43" s="106"/>
      <c r="M43" s="106"/>
      <c r="N43" s="106"/>
      <c r="O43" s="106"/>
      <c r="P43" s="106"/>
      <c r="Q43" s="106"/>
      <c r="R43" s="106"/>
      <c r="S43" s="106"/>
      <c r="T43" s="106"/>
      <c r="U43" s="106"/>
    </row>
    <row r="44" spans="1:21" s="95" customFormat="1" ht="63.4" customHeight="1">
      <c r="A44" s="107"/>
      <c r="B44" s="190" t="s">
        <v>228</v>
      </c>
      <c r="C44" s="114"/>
      <c r="D44" s="114"/>
      <c r="E44" s="114"/>
      <c r="F44" s="114"/>
      <c r="G44" s="115"/>
      <c r="H44" s="115"/>
      <c r="I44" s="115"/>
      <c r="J44" s="115"/>
      <c r="K44" s="115"/>
      <c r="L44" s="115"/>
      <c r="M44" s="115"/>
      <c r="N44" s="115"/>
      <c r="O44" s="115"/>
      <c r="P44" s="115"/>
      <c r="Q44" s="115"/>
      <c r="R44" s="115"/>
      <c r="S44" s="115"/>
      <c r="T44" s="115"/>
      <c r="U44" s="115"/>
    </row>
    <row r="45" spans="1:21" s="93" customFormat="1" ht="46.9" customHeight="1">
      <c r="A45" s="107"/>
      <c r="B45" s="20" t="s">
        <v>196</v>
      </c>
      <c r="C45" s="109"/>
      <c r="D45" s="109"/>
      <c r="E45" s="109"/>
      <c r="F45" s="109"/>
      <c r="G45" s="110"/>
      <c r="H45" s="110"/>
      <c r="I45" s="110"/>
      <c r="J45" s="110"/>
      <c r="K45" s="110"/>
      <c r="L45" s="110"/>
      <c r="M45" s="110"/>
      <c r="N45" s="110"/>
      <c r="O45" s="110"/>
      <c r="P45" s="110"/>
      <c r="Q45" s="110"/>
      <c r="R45" s="110"/>
      <c r="S45" s="110"/>
      <c r="T45" s="110"/>
      <c r="U45" s="110"/>
    </row>
    <row r="46" spans="1:21" s="95" customFormat="1" ht="46.15" customHeight="1">
      <c r="A46" s="107"/>
      <c r="B46" s="190" t="s">
        <v>200</v>
      </c>
      <c r="C46" s="114"/>
      <c r="D46" s="114"/>
      <c r="E46" s="114"/>
      <c r="F46" s="114"/>
      <c r="G46" s="115"/>
      <c r="H46" s="115"/>
      <c r="I46" s="115"/>
      <c r="J46" s="115"/>
      <c r="K46" s="115"/>
      <c r="L46" s="115"/>
      <c r="M46" s="115"/>
      <c r="N46" s="115"/>
      <c r="O46" s="115"/>
      <c r="P46" s="115"/>
      <c r="Q46" s="115"/>
      <c r="R46" s="115"/>
      <c r="S46" s="115"/>
      <c r="T46" s="115"/>
      <c r="U46" s="115"/>
    </row>
    <row r="47" spans="1:21" s="93" customFormat="1" ht="45" customHeight="1">
      <c r="A47" s="107"/>
      <c r="B47" s="20" t="s">
        <v>196</v>
      </c>
      <c r="C47" s="109"/>
      <c r="D47" s="109"/>
      <c r="E47" s="109"/>
      <c r="F47" s="109"/>
      <c r="G47" s="110"/>
      <c r="H47" s="110"/>
      <c r="I47" s="110"/>
      <c r="J47" s="110"/>
      <c r="K47" s="110"/>
      <c r="L47" s="110"/>
      <c r="M47" s="110"/>
      <c r="N47" s="110"/>
      <c r="O47" s="110"/>
      <c r="P47" s="110"/>
      <c r="Q47" s="110"/>
      <c r="R47" s="110"/>
      <c r="S47" s="110"/>
      <c r="T47" s="110"/>
      <c r="U47" s="110"/>
    </row>
    <row r="48" spans="1:21" ht="51.4" customHeight="1">
      <c r="A48" s="15" t="s">
        <v>109</v>
      </c>
      <c r="B48" s="17" t="s">
        <v>220</v>
      </c>
      <c r="C48" s="105"/>
      <c r="D48" s="105"/>
      <c r="E48" s="105"/>
      <c r="F48" s="105"/>
      <c r="G48" s="106"/>
      <c r="H48" s="106"/>
      <c r="I48" s="106"/>
      <c r="J48" s="106"/>
      <c r="K48" s="106"/>
      <c r="L48" s="106"/>
      <c r="M48" s="106"/>
      <c r="N48" s="106"/>
      <c r="O48" s="106"/>
      <c r="P48" s="106"/>
      <c r="Q48" s="106"/>
      <c r="R48" s="106"/>
      <c r="S48" s="106"/>
    </row>
    <row r="49" spans="1:19" ht="41.65" customHeight="1">
      <c r="A49" s="111"/>
      <c r="B49" s="20" t="s">
        <v>206</v>
      </c>
      <c r="C49" s="105"/>
      <c r="D49" s="105"/>
      <c r="E49" s="105"/>
      <c r="F49" s="105"/>
      <c r="G49" s="106"/>
      <c r="H49" s="106"/>
      <c r="I49" s="106"/>
      <c r="J49" s="106"/>
      <c r="K49" s="106"/>
      <c r="L49" s="106"/>
      <c r="M49" s="106"/>
      <c r="N49" s="106"/>
      <c r="O49" s="106"/>
      <c r="P49" s="106"/>
      <c r="Q49" s="106"/>
      <c r="R49" s="106"/>
      <c r="S49" s="106"/>
    </row>
    <row r="50" spans="1:19" ht="9.4" customHeight="1">
      <c r="A50" s="111"/>
      <c r="B50" s="104"/>
      <c r="C50" s="105"/>
      <c r="D50" s="105"/>
      <c r="E50" s="105"/>
      <c r="F50" s="105"/>
      <c r="G50" s="106"/>
      <c r="H50" s="106"/>
      <c r="I50" s="106"/>
      <c r="J50" s="106"/>
      <c r="K50" s="106"/>
      <c r="L50" s="106"/>
      <c r="M50" s="106"/>
      <c r="N50" s="106"/>
      <c r="O50" s="106"/>
      <c r="P50" s="106"/>
      <c r="Q50" s="106"/>
      <c r="R50" s="106"/>
      <c r="S50" s="106"/>
    </row>
    <row r="51" spans="1:19" s="95" customFormat="1" ht="38.65" customHeight="1">
      <c r="A51" s="162"/>
      <c r="B51" s="1255" t="s">
        <v>229</v>
      </c>
      <c r="C51" s="1255"/>
      <c r="D51" s="1255"/>
      <c r="E51" s="1255"/>
      <c r="F51" s="1255"/>
      <c r="G51" s="1255"/>
      <c r="H51" s="1255"/>
      <c r="I51" s="1255"/>
      <c r="J51" s="1255"/>
      <c r="K51" s="1255"/>
      <c r="L51" s="1255"/>
      <c r="M51" s="1255"/>
      <c r="N51" s="1255"/>
      <c r="O51" s="1255"/>
      <c r="P51" s="1255"/>
      <c r="Q51" s="1255"/>
      <c r="R51" s="1255"/>
      <c r="S51" s="1255"/>
    </row>
    <row r="52" spans="1:19" ht="0.75" hidden="1" customHeight="1">
      <c r="A52" s="152"/>
      <c r="B52" s="153"/>
      <c r="C52" s="154"/>
      <c r="D52" s="154"/>
      <c r="E52" s="154"/>
      <c r="F52" s="154"/>
      <c r="G52" s="155"/>
      <c r="H52" s="155"/>
      <c r="I52" s="155"/>
      <c r="J52" s="155"/>
      <c r="K52" s="155"/>
      <c r="L52" s="155"/>
      <c r="M52" s="155"/>
      <c r="N52" s="155"/>
      <c r="O52" s="155"/>
      <c r="P52" s="155"/>
      <c r="Q52" s="155"/>
      <c r="R52" s="155"/>
      <c r="S52" s="155"/>
    </row>
    <row r="53" spans="1:19" ht="0.75" hidden="1" customHeight="1"/>
    <row r="54" spans="1:19" ht="0.75" hidden="1" customHeight="1"/>
    <row r="55" spans="1:19" ht="0.75" hidden="1" customHeight="1"/>
    <row r="56" spans="1:19" ht="0.75" hidden="1" customHeight="1"/>
    <row r="57" spans="1:19" ht="0.75" hidden="1" customHeight="1"/>
    <row r="58" spans="1:19" ht="0.75" hidden="1" customHeight="1"/>
    <row r="59" spans="1:19" ht="0.75" hidden="1" customHeight="1"/>
    <row r="60" spans="1:19" ht="0.75" hidden="1" customHeight="1"/>
    <row r="61" spans="1:19" ht="0.75" hidden="1" customHeight="1"/>
    <row r="62" spans="1:19" ht="0.75" hidden="1" customHeight="1"/>
    <row r="63" spans="1:19" ht="0.75" hidden="1" customHeight="1"/>
    <row r="64" spans="1:19" ht="7.15" customHeight="1"/>
    <row r="65" spans="1:19" ht="33" hidden="1" customHeight="1">
      <c r="B65" s="92" t="s">
        <v>230</v>
      </c>
    </row>
    <row r="66" spans="1:19" ht="31.5" customHeight="1">
      <c r="B66" s="1249"/>
      <c r="C66" s="1249"/>
      <c r="D66" s="1249"/>
      <c r="E66" s="1249"/>
      <c r="F66" s="1249"/>
      <c r="G66" s="1249"/>
      <c r="H66" s="1249"/>
      <c r="I66" s="1249"/>
      <c r="J66" s="1249"/>
      <c r="K66" s="156"/>
      <c r="L66" s="156"/>
      <c r="M66" s="156"/>
      <c r="N66" s="156"/>
      <c r="O66" s="156"/>
      <c r="P66" s="156"/>
      <c r="Q66" s="156"/>
      <c r="R66" s="156"/>
    </row>
    <row r="67" spans="1:19" ht="19.899999999999999" customHeight="1"/>
    <row r="68" spans="1:19" ht="19.899999999999999" customHeight="1">
      <c r="S68" s="92"/>
    </row>
    <row r="69" spans="1:19" ht="19.899999999999999" customHeight="1">
      <c r="S69" s="92"/>
    </row>
    <row r="70" spans="1:19" ht="19.899999999999999" customHeight="1">
      <c r="A70" s="157"/>
      <c r="B70" s="92"/>
      <c r="C70" s="92"/>
      <c r="D70" s="92"/>
      <c r="E70" s="92"/>
      <c r="F70" s="92"/>
      <c r="G70" s="92"/>
      <c r="H70" s="92"/>
      <c r="I70" s="92"/>
      <c r="J70" s="92"/>
      <c r="K70" s="92"/>
      <c r="L70" s="92"/>
      <c r="M70" s="92"/>
      <c r="N70" s="92"/>
      <c r="O70" s="92"/>
      <c r="P70" s="92"/>
      <c r="Q70" s="92"/>
      <c r="R70" s="92"/>
      <c r="S70" s="92"/>
    </row>
    <row r="71" spans="1:19" ht="19.899999999999999" customHeight="1">
      <c r="A71" s="157"/>
      <c r="B71" s="92"/>
      <c r="C71" s="92"/>
      <c r="D71" s="92"/>
      <c r="E71" s="92"/>
      <c r="F71" s="92"/>
      <c r="G71" s="92"/>
      <c r="H71" s="92"/>
      <c r="I71" s="92"/>
      <c r="J71" s="92"/>
      <c r="K71" s="92"/>
      <c r="L71" s="92"/>
      <c r="M71" s="92"/>
      <c r="N71" s="92"/>
      <c r="O71" s="92"/>
      <c r="P71" s="92"/>
      <c r="Q71" s="92"/>
      <c r="R71" s="92"/>
      <c r="S71" s="92"/>
    </row>
    <row r="72" spans="1:19" ht="19.899999999999999" customHeight="1">
      <c r="A72" s="157"/>
      <c r="B72" s="92"/>
      <c r="C72" s="92"/>
      <c r="D72" s="92"/>
      <c r="E72" s="92"/>
      <c r="F72" s="92"/>
      <c r="G72" s="92"/>
      <c r="H72" s="92"/>
      <c r="I72" s="92"/>
      <c r="J72" s="92"/>
      <c r="K72" s="92"/>
      <c r="L72" s="92"/>
      <c r="M72" s="92"/>
      <c r="N72" s="92"/>
      <c r="O72" s="92"/>
      <c r="P72" s="92"/>
      <c r="Q72" s="92"/>
      <c r="R72" s="92"/>
      <c r="S72" s="92"/>
    </row>
    <row r="73" spans="1:19" ht="19.899999999999999" customHeight="1">
      <c r="A73" s="157"/>
      <c r="B73" s="92"/>
      <c r="C73" s="92"/>
      <c r="D73" s="92"/>
      <c r="E73" s="92"/>
      <c r="F73" s="92"/>
      <c r="G73" s="92"/>
      <c r="H73" s="92"/>
      <c r="I73" s="92"/>
      <c r="J73" s="92"/>
      <c r="K73" s="92"/>
      <c r="L73" s="92"/>
      <c r="M73" s="92"/>
      <c r="N73" s="92"/>
      <c r="O73" s="92"/>
      <c r="P73" s="92"/>
      <c r="Q73" s="92"/>
      <c r="R73" s="92"/>
      <c r="S73" s="92"/>
    </row>
    <row r="74" spans="1:19" ht="19.899999999999999" customHeight="1">
      <c r="A74" s="157"/>
      <c r="B74" s="92"/>
      <c r="C74" s="92"/>
      <c r="D74" s="92"/>
      <c r="E74" s="92"/>
      <c r="F74" s="92"/>
      <c r="G74" s="92"/>
      <c r="H74" s="92"/>
      <c r="I74" s="92"/>
      <c r="J74" s="92"/>
      <c r="K74" s="92"/>
      <c r="L74" s="92"/>
      <c r="M74" s="92"/>
      <c r="N74" s="92"/>
      <c r="O74" s="92"/>
      <c r="P74" s="92"/>
      <c r="Q74" s="92"/>
      <c r="R74" s="92"/>
      <c r="S74" s="92"/>
    </row>
    <row r="75" spans="1:19" ht="19.899999999999999" customHeight="1">
      <c r="A75" s="157"/>
      <c r="B75" s="92"/>
      <c r="C75" s="92"/>
      <c r="D75" s="92"/>
      <c r="E75" s="92"/>
      <c r="F75" s="92"/>
      <c r="G75" s="92"/>
      <c r="H75" s="92"/>
      <c r="I75" s="92"/>
      <c r="J75" s="92"/>
      <c r="K75" s="92"/>
      <c r="L75" s="92"/>
      <c r="M75" s="92"/>
      <c r="N75" s="92"/>
      <c r="O75" s="92"/>
      <c r="P75" s="92"/>
      <c r="Q75" s="92"/>
      <c r="R75" s="92"/>
      <c r="S75" s="92"/>
    </row>
    <row r="76" spans="1:19" ht="19.899999999999999" customHeight="1">
      <c r="A76" s="157"/>
      <c r="B76" s="92"/>
      <c r="C76" s="92"/>
      <c r="D76" s="92"/>
      <c r="E76" s="92"/>
      <c r="F76" s="92"/>
      <c r="G76" s="92"/>
      <c r="H76" s="92"/>
      <c r="I76" s="92"/>
      <c r="J76" s="92"/>
      <c r="K76" s="92"/>
      <c r="L76" s="92"/>
      <c r="M76" s="92"/>
      <c r="N76" s="92"/>
      <c r="O76" s="92"/>
      <c r="P76" s="92"/>
      <c r="Q76" s="92"/>
      <c r="R76" s="92"/>
      <c r="S76" s="92"/>
    </row>
    <row r="77" spans="1:19" ht="19.899999999999999" customHeight="1">
      <c r="A77" s="157"/>
      <c r="B77" s="92"/>
      <c r="C77" s="92"/>
      <c r="D77" s="92"/>
      <c r="E77" s="92"/>
      <c r="F77" s="92"/>
      <c r="G77" s="92"/>
      <c r="H77" s="92"/>
      <c r="I77" s="92"/>
      <c r="J77" s="92"/>
      <c r="K77" s="92"/>
      <c r="L77" s="92"/>
      <c r="M77" s="92"/>
      <c r="N77" s="92"/>
      <c r="O77" s="92"/>
      <c r="P77" s="92"/>
      <c r="Q77" s="92"/>
      <c r="R77" s="92"/>
      <c r="S77" s="92"/>
    </row>
    <row r="78" spans="1:19" ht="19.899999999999999" customHeight="1">
      <c r="A78" s="157"/>
      <c r="B78" s="92"/>
      <c r="C78" s="92"/>
      <c r="D78" s="92"/>
      <c r="E78" s="92"/>
      <c r="F78" s="92"/>
      <c r="G78" s="92"/>
      <c r="H78" s="92"/>
      <c r="I78" s="92"/>
      <c r="J78" s="92"/>
      <c r="K78" s="92"/>
      <c r="L78" s="92"/>
      <c r="M78" s="92"/>
      <c r="N78" s="92"/>
      <c r="O78" s="92"/>
      <c r="P78" s="92"/>
      <c r="Q78" s="92"/>
      <c r="R78" s="92"/>
      <c r="S78" s="92"/>
    </row>
    <row r="79" spans="1:19" ht="19.899999999999999" customHeight="1">
      <c r="A79" s="157"/>
      <c r="B79" s="92"/>
      <c r="C79" s="92"/>
      <c r="D79" s="92"/>
      <c r="E79" s="92"/>
      <c r="F79" s="92"/>
      <c r="G79" s="92"/>
      <c r="H79" s="92"/>
      <c r="I79" s="92"/>
      <c r="J79" s="92"/>
      <c r="K79" s="92"/>
      <c r="L79" s="92"/>
      <c r="M79" s="92"/>
      <c r="N79" s="92"/>
      <c r="O79" s="92"/>
      <c r="P79" s="92"/>
      <c r="Q79" s="92"/>
      <c r="R79" s="92"/>
      <c r="S79" s="92"/>
    </row>
    <row r="80" spans="1:19">
      <c r="A80" s="157"/>
      <c r="B80" s="92"/>
      <c r="C80" s="92"/>
      <c r="D80" s="92"/>
      <c r="E80" s="92"/>
      <c r="F80" s="92"/>
      <c r="G80" s="92"/>
      <c r="H80" s="92"/>
      <c r="I80" s="92"/>
      <c r="J80" s="92"/>
      <c r="K80" s="92"/>
      <c r="L80" s="92"/>
      <c r="M80" s="92"/>
      <c r="N80" s="92"/>
      <c r="O80" s="92"/>
      <c r="P80" s="92"/>
      <c r="Q80" s="92"/>
      <c r="R80" s="92"/>
      <c r="S80" s="92"/>
    </row>
    <row r="81" spans="1:19">
      <c r="A81" s="157"/>
      <c r="B81" s="92"/>
      <c r="C81" s="92"/>
      <c r="D81" s="92"/>
      <c r="E81" s="92"/>
      <c r="F81" s="92"/>
      <c r="G81" s="92"/>
      <c r="H81" s="92"/>
      <c r="I81" s="92"/>
      <c r="J81" s="92"/>
      <c r="K81" s="92"/>
      <c r="L81" s="92"/>
      <c r="M81" s="92"/>
      <c r="N81" s="92"/>
      <c r="O81" s="92"/>
      <c r="P81" s="92"/>
      <c r="Q81" s="92"/>
      <c r="R81" s="92"/>
      <c r="S81" s="92"/>
    </row>
    <row r="82" spans="1:19">
      <c r="A82" s="157"/>
      <c r="B82" s="92"/>
      <c r="C82" s="92"/>
      <c r="D82" s="92"/>
      <c r="E82" s="92"/>
      <c r="F82" s="92"/>
      <c r="G82" s="92"/>
      <c r="H82" s="92"/>
      <c r="I82" s="92"/>
      <c r="J82" s="92"/>
      <c r="K82" s="92"/>
      <c r="L82" s="92"/>
      <c r="M82" s="92"/>
      <c r="N82" s="92"/>
      <c r="O82" s="92"/>
      <c r="P82" s="92"/>
      <c r="Q82" s="92"/>
      <c r="R82" s="92"/>
      <c r="S82" s="92"/>
    </row>
    <row r="83" spans="1:19">
      <c r="A83" s="157"/>
      <c r="B83" s="92"/>
      <c r="C83" s="92"/>
      <c r="D83" s="92"/>
      <c r="E83" s="92"/>
      <c r="F83" s="92"/>
      <c r="G83" s="92"/>
      <c r="H83" s="92"/>
      <c r="I83" s="92"/>
      <c r="J83" s="92"/>
      <c r="K83" s="92"/>
      <c r="L83" s="92"/>
      <c r="M83" s="92"/>
      <c r="N83" s="92"/>
      <c r="O83" s="92"/>
      <c r="P83" s="92"/>
      <c r="Q83" s="92"/>
      <c r="R83" s="92"/>
      <c r="S83" s="92"/>
    </row>
    <row r="84" spans="1:19">
      <c r="A84" s="157"/>
      <c r="B84" s="92"/>
      <c r="C84" s="92"/>
      <c r="D84" s="92"/>
      <c r="E84" s="92"/>
      <c r="F84" s="92"/>
      <c r="G84" s="92"/>
      <c r="H84" s="92"/>
      <c r="I84" s="92"/>
      <c r="J84" s="92"/>
      <c r="K84" s="92"/>
      <c r="L84" s="92"/>
      <c r="M84" s="92"/>
      <c r="N84" s="92"/>
      <c r="O84" s="92"/>
      <c r="P84" s="92"/>
      <c r="Q84" s="92"/>
      <c r="R84" s="92"/>
      <c r="S84" s="92"/>
    </row>
    <row r="85" spans="1:19">
      <c r="A85" s="157"/>
      <c r="B85" s="92"/>
      <c r="C85" s="92"/>
      <c r="D85" s="92"/>
      <c r="E85" s="92"/>
      <c r="F85" s="92"/>
      <c r="G85" s="92"/>
      <c r="H85" s="92"/>
      <c r="I85" s="92"/>
      <c r="J85" s="92"/>
      <c r="K85" s="92"/>
      <c r="L85" s="92"/>
      <c r="M85" s="92"/>
      <c r="N85" s="92"/>
      <c r="O85" s="92"/>
      <c r="P85" s="92"/>
      <c r="Q85" s="92"/>
      <c r="R85" s="92"/>
      <c r="S85" s="92"/>
    </row>
    <row r="86" spans="1:19">
      <c r="A86" s="157"/>
      <c r="B86" s="92"/>
      <c r="C86" s="92"/>
      <c r="D86" s="92"/>
      <c r="E86" s="92"/>
      <c r="F86" s="92"/>
      <c r="G86" s="92"/>
      <c r="H86" s="92"/>
      <c r="I86" s="92"/>
      <c r="J86" s="92"/>
      <c r="K86" s="92"/>
      <c r="L86" s="92"/>
      <c r="M86" s="92"/>
      <c r="N86" s="92"/>
      <c r="O86" s="92"/>
      <c r="P86" s="92"/>
      <c r="Q86" s="92"/>
      <c r="R86" s="92"/>
      <c r="S86" s="92"/>
    </row>
    <row r="87" spans="1:19">
      <c r="A87" s="157"/>
      <c r="B87" s="92"/>
      <c r="C87" s="92"/>
      <c r="D87" s="92"/>
      <c r="E87" s="92"/>
      <c r="F87" s="92"/>
      <c r="G87" s="92"/>
      <c r="H87" s="92"/>
      <c r="I87" s="92"/>
      <c r="J87" s="92"/>
      <c r="K87" s="92"/>
      <c r="L87" s="92"/>
      <c r="M87" s="92"/>
      <c r="N87" s="92"/>
      <c r="O87" s="92"/>
      <c r="P87" s="92"/>
      <c r="Q87" s="92"/>
      <c r="R87" s="92"/>
      <c r="S87" s="92"/>
    </row>
    <row r="88" spans="1:19">
      <c r="A88" s="157"/>
      <c r="B88" s="92"/>
      <c r="C88" s="92"/>
      <c r="D88" s="92"/>
      <c r="E88" s="92"/>
      <c r="F88" s="92"/>
      <c r="G88" s="92"/>
      <c r="H88" s="92"/>
      <c r="I88" s="92"/>
      <c r="J88" s="92"/>
      <c r="K88" s="92"/>
      <c r="L88" s="92"/>
      <c r="M88" s="92"/>
      <c r="N88" s="92"/>
      <c r="O88" s="92"/>
      <c r="P88" s="92"/>
      <c r="Q88" s="92"/>
      <c r="R88" s="92"/>
      <c r="S88" s="92"/>
    </row>
    <row r="89" spans="1:19">
      <c r="A89" s="157"/>
      <c r="B89" s="92"/>
      <c r="C89" s="92"/>
      <c r="D89" s="92"/>
      <c r="E89" s="92"/>
      <c r="F89" s="92"/>
      <c r="G89" s="92"/>
      <c r="H89" s="92"/>
      <c r="I89" s="92"/>
      <c r="J89" s="92"/>
      <c r="K89" s="92"/>
      <c r="L89" s="92"/>
      <c r="M89" s="92"/>
      <c r="N89" s="92"/>
      <c r="O89" s="92"/>
      <c r="P89" s="92"/>
      <c r="Q89" s="92"/>
      <c r="R89" s="92"/>
      <c r="S89" s="92"/>
    </row>
    <row r="90" spans="1:19">
      <c r="A90" s="157"/>
      <c r="B90" s="92"/>
      <c r="C90" s="92"/>
      <c r="D90" s="92"/>
      <c r="E90" s="92"/>
      <c r="F90" s="92"/>
      <c r="G90" s="92"/>
      <c r="H90" s="92"/>
      <c r="I90" s="92"/>
      <c r="J90" s="92"/>
      <c r="K90" s="92"/>
      <c r="L90" s="92"/>
      <c r="M90" s="92"/>
      <c r="N90" s="92"/>
      <c r="O90" s="92"/>
      <c r="P90" s="92"/>
      <c r="Q90" s="92"/>
      <c r="R90" s="92"/>
      <c r="S90" s="92"/>
    </row>
    <row r="91" spans="1:19">
      <c r="A91" s="157"/>
      <c r="B91" s="92"/>
      <c r="C91" s="92"/>
      <c r="D91" s="92"/>
      <c r="E91" s="92"/>
      <c r="F91" s="92"/>
      <c r="G91" s="92"/>
      <c r="H91" s="92"/>
      <c r="I91" s="92"/>
      <c r="J91" s="92"/>
      <c r="K91" s="92"/>
      <c r="L91" s="92"/>
      <c r="M91" s="92"/>
      <c r="N91" s="92"/>
      <c r="O91" s="92"/>
      <c r="P91" s="92"/>
      <c r="Q91" s="92"/>
      <c r="R91" s="92"/>
      <c r="S91" s="92"/>
    </row>
    <row r="92" spans="1:19">
      <c r="A92" s="157"/>
      <c r="B92" s="92"/>
      <c r="C92" s="92"/>
      <c r="D92" s="92"/>
      <c r="E92" s="92"/>
      <c r="F92" s="92"/>
      <c r="G92" s="92"/>
      <c r="H92" s="92"/>
      <c r="I92" s="92"/>
      <c r="J92" s="92"/>
      <c r="K92" s="92"/>
      <c r="L92" s="92"/>
      <c r="M92" s="92"/>
      <c r="N92" s="92"/>
      <c r="O92" s="92"/>
      <c r="P92" s="92"/>
      <c r="Q92" s="92"/>
      <c r="R92" s="92"/>
      <c r="S92" s="92"/>
    </row>
    <row r="93" spans="1:19">
      <c r="A93" s="157"/>
      <c r="B93" s="92"/>
      <c r="C93" s="92"/>
      <c r="D93" s="92"/>
      <c r="E93" s="92"/>
      <c r="F93" s="92"/>
      <c r="G93" s="92"/>
      <c r="H93" s="92"/>
      <c r="I93" s="92"/>
      <c r="J93" s="92"/>
      <c r="K93" s="92"/>
      <c r="L93" s="92"/>
      <c r="M93" s="92"/>
      <c r="N93" s="92"/>
      <c r="O93" s="92"/>
      <c r="P93" s="92"/>
      <c r="Q93" s="92"/>
      <c r="R93" s="92"/>
      <c r="S93" s="92"/>
    </row>
    <row r="94" spans="1:19">
      <c r="A94" s="157"/>
      <c r="B94" s="92"/>
      <c r="C94" s="92"/>
      <c r="D94" s="92"/>
      <c r="E94" s="92"/>
      <c r="F94" s="92"/>
      <c r="G94" s="92"/>
      <c r="H94" s="92"/>
      <c r="I94" s="92"/>
      <c r="J94" s="92"/>
      <c r="K94" s="92"/>
      <c r="L94" s="92"/>
      <c r="M94" s="92"/>
      <c r="N94" s="92"/>
      <c r="O94" s="92"/>
      <c r="P94" s="92"/>
      <c r="Q94" s="92"/>
      <c r="R94" s="92"/>
      <c r="S94" s="92"/>
    </row>
    <row r="95" spans="1:19">
      <c r="A95" s="157"/>
      <c r="B95" s="92"/>
      <c r="C95" s="92"/>
      <c r="D95" s="92"/>
      <c r="E95" s="92"/>
      <c r="F95" s="92"/>
      <c r="G95" s="92"/>
      <c r="H95" s="92"/>
      <c r="I95" s="92"/>
      <c r="J95" s="92"/>
      <c r="K95" s="92"/>
      <c r="L95" s="92"/>
      <c r="M95" s="92"/>
      <c r="N95" s="92"/>
      <c r="O95" s="92"/>
      <c r="P95" s="92"/>
      <c r="Q95" s="92"/>
      <c r="R95" s="92"/>
      <c r="S95" s="92"/>
    </row>
    <row r="96" spans="1:19">
      <c r="A96" s="157"/>
      <c r="B96" s="92"/>
      <c r="C96" s="92"/>
      <c r="D96" s="92"/>
      <c r="E96" s="92"/>
      <c r="F96" s="92"/>
      <c r="G96" s="92"/>
      <c r="H96" s="92"/>
      <c r="I96" s="92"/>
      <c r="J96" s="92"/>
      <c r="K96" s="92"/>
      <c r="L96" s="92"/>
      <c r="M96" s="92"/>
      <c r="N96" s="92"/>
      <c r="O96" s="92"/>
      <c r="P96" s="92"/>
      <c r="Q96" s="92"/>
      <c r="R96" s="92"/>
      <c r="S96" s="92"/>
    </row>
    <row r="97" spans="1:19">
      <c r="A97" s="157"/>
      <c r="B97" s="92"/>
      <c r="C97" s="92"/>
      <c r="D97" s="92"/>
      <c r="E97" s="92"/>
      <c r="F97" s="92"/>
      <c r="G97" s="92"/>
      <c r="H97" s="92"/>
      <c r="I97" s="92"/>
      <c r="J97" s="92"/>
      <c r="K97" s="92"/>
      <c r="L97" s="92"/>
      <c r="M97" s="92"/>
      <c r="N97" s="92"/>
      <c r="O97" s="92"/>
      <c r="P97" s="92"/>
      <c r="Q97" s="92"/>
      <c r="R97" s="92"/>
      <c r="S97" s="92"/>
    </row>
    <row r="98" spans="1:19">
      <c r="A98" s="157"/>
      <c r="B98" s="92"/>
      <c r="C98" s="92"/>
      <c r="D98" s="92"/>
      <c r="E98" s="92"/>
      <c r="F98" s="92"/>
      <c r="G98" s="92"/>
      <c r="H98" s="92"/>
      <c r="I98" s="92"/>
      <c r="J98" s="92"/>
      <c r="K98" s="92"/>
      <c r="L98" s="92"/>
      <c r="M98" s="92"/>
      <c r="N98" s="92"/>
      <c r="O98" s="92"/>
      <c r="P98" s="92"/>
      <c r="Q98" s="92"/>
      <c r="R98" s="92"/>
      <c r="S98" s="92"/>
    </row>
    <row r="99" spans="1:19">
      <c r="A99" s="157"/>
      <c r="B99" s="92"/>
      <c r="C99" s="92"/>
      <c r="D99" s="92"/>
      <c r="E99" s="92"/>
      <c r="F99" s="92"/>
      <c r="G99" s="92"/>
      <c r="H99" s="92"/>
      <c r="I99" s="92"/>
      <c r="J99" s="92"/>
      <c r="K99" s="92"/>
      <c r="L99" s="92"/>
      <c r="M99" s="92"/>
      <c r="N99" s="92"/>
      <c r="O99" s="92"/>
      <c r="P99" s="92"/>
      <c r="Q99" s="92"/>
      <c r="R99" s="92"/>
      <c r="S99" s="92"/>
    </row>
    <row r="100" spans="1:19">
      <c r="A100" s="157"/>
      <c r="B100" s="92"/>
      <c r="C100" s="92"/>
      <c r="D100" s="92"/>
      <c r="E100" s="92"/>
      <c r="F100" s="92"/>
      <c r="G100" s="92"/>
      <c r="H100" s="92"/>
      <c r="I100" s="92"/>
      <c r="J100" s="92"/>
      <c r="K100" s="92"/>
      <c r="L100" s="92"/>
      <c r="M100" s="92"/>
      <c r="N100" s="92"/>
      <c r="O100" s="92"/>
      <c r="P100" s="92"/>
      <c r="Q100" s="92"/>
      <c r="R100" s="92"/>
      <c r="S100" s="92"/>
    </row>
    <row r="101" spans="1:19">
      <c r="A101" s="157"/>
      <c r="B101" s="92"/>
      <c r="C101" s="92"/>
      <c r="D101" s="92"/>
      <c r="E101" s="92"/>
      <c r="F101" s="92"/>
      <c r="G101" s="92"/>
      <c r="H101" s="92"/>
      <c r="I101" s="92"/>
      <c r="J101" s="92"/>
      <c r="K101" s="92"/>
      <c r="L101" s="92"/>
      <c r="M101" s="92"/>
      <c r="N101" s="92"/>
      <c r="O101" s="92"/>
      <c r="P101" s="92"/>
      <c r="Q101" s="92"/>
      <c r="R101" s="92"/>
      <c r="S101" s="92"/>
    </row>
    <row r="102" spans="1:19">
      <c r="A102" s="157"/>
      <c r="B102" s="92"/>
      <c r="C102" s="92"/>
      <c r="D102" s="92"/>
      <c r="E102" s="92"/>
      <c r="F102" s="92"/>
      <c r="G102" s="92"/>
      <c r="H102" s="92"/>
      <c r="I102" s="92"/>
      <c r="J102" s="92"/>
      <c r="K102" s="92"/>
      <c r="L102" s="92"/>
      <c r="M102" s="92"/>
      <c r="N102" s="92"/>
      <c r="O102" s="92"/>
      <c r="P102" s="92"/>
      <c r="Q102" s="92"/>
      <c r="R102" s="92"/>
      <c r="S102" s="92"/>
    </row>
    <row r="103" spans="1:19">
      <c r="A103" s="157"/>
      <c r="B103" s="92"/>
      <c r="C103" s="92"/>
      <c r="D103" s="92"/>
      <c r="E103" s="92"/>
      <c r="F103" s="92"/>
      <c r="G103" s="92"/>
      <c r="H103" s="92"/>
      <c r="I103" s="92"/>
      <c r="J103" s="92"/>
      <c r="K103" s="92"/>
      <c r="L103" s="92"/>
      <c r="M103" s="92"/>
      <c r="N103" s="92"/>
      <c r="O103" s="92"/>
      <c r="P103" s="92"/>
      <c r="Q103" s="92"/>
      <c r="R103" s="92"/>
      <c r="S103" s="92"/>
    </row>
    <row r="104" spans="1:19">
      <c r="A104" s="157"/>
      <c r="B104" s="92"/>
      <c r="C104" s="92"/>
      <c r="D104" s="92"/>
      <c r="E104" s="92"/>
      <c r="F104" s="92"/>
      <c r="G104" s="92"/>
      <c r="H104" s="92"/>
      <c r="I104" s="92"/>
      <c r="J104" s="92"/>
      <c r="K104" s="92"/>
      <c r="L104" s="92"/>
      <c r="M104" s="92"/>
      <c r="N104" s="92"/>
      <c r="O104" s="92"/>
      <c r="P104" s="92"/>
      <c r="Q104" s="92"/>
      <c r="R104" s="92"/>
      <c r="S104" s="92"/>
    </row>
    <row r="105" spans="1:19">
      <c r="A105" s="157"/>
      <c r="B105" s="92"/>
      <c r="C105" s="92"/>
      <c r="D105" s="92"/>
      <c r="E105" s="92"/>
      <c r="F105" s="92"/>
      <c r="G105" s="92"/>
      <c r="H105" s="92"/>
      <c r="I105" s="92"/>
      <c r="J105" s="92"/>
      <c r="K105" s="92"/>
      <c r="L105" s="92"/>
      <c r="M105" s="92"/>
      <c r="N105" s="92"/>
      <c r="O105" s="92"/>
      <c r="P105" s="92"/>
      <c r="Q105" s="92"/>
      <c r="R105" s="92"/>
      <c r="S105" s="92"/>
    </row>
    <row r="106" spans="1:19">
      <c r="A106" s="157"/>
      <c r="B106" s="92"/>
      <c r="C106" s="92"/>
      <c r="D106" s="92"/>
      <c r="E106" s="92"/>
      <c r="F106" s="92"/>
      <c r="G106" s="92"/>
      <c r="H106" s="92"/>
      <c r="I106" s="92"/>
      <c r="J106" s="92"/>
      <c r="K106" s="92"/>
      <c r="L106" s="92"/>
      <c r="M106" s="92"/>
      <c r="N106" s="92"/>
      <c r="O106" s="92"/>
      <c r="P106" s="92"/>
      <c r="Q106" s="92"/>
      <c r="R106" s="92"/>
      <c r="S106" s="92"/>
    </row>
    <row r="107" spans="1:19">
      <c r="A107" s="157"/>
      <c r="B107" s="92"/>
      <c r="C107" s="92"/>
      <c r="D107" s="92"/>
      <c r="E107" s="92"/>
      <c r="F107" s="92"/>
      <c r="G107" s="92"/>
      <c r="H107" s="92"/>
      <c r="I107" s="92"/>
      <c r="J107" s="92"/>
      <c r="K107" s="92"/>
      <c r="L107" s="92"/>
      <c r="M107" s="92"/>
      <c r="N107" s="92"/>
      <c r="O107" s="92"/>
      <c r="P107" s="92"/>
      <c r="Q107" s="92"/>
      <c r="R107" s="92"/>
      <c r="S107" s="92"/>
    </row>
    <row r="108" spans="1:19">
      <c r="A108" s="157"/>
      <c r="B108" s="92"/>
      <c r="C108" s="92"/>
      <c r="D108" s="92"/>
      <c r="E108" s="92"/>
      <c r="F108" s="92"/>
      <c r="G108" s="92"/>
      <c r="H108" s="92"/>
      <c r="I108" s="92"/>
      <c r="J108" s="92"/>
      <c r="K108" s="92"/>
      <c r="L108" s="92"/>
      <c r="M108" s="92"/>
      <c r="N108" s="92"/>
      <c r="O108" s="92"/>
      <c r="P108" s="92"/>
      <c r="Q108" s="92"/>
      <c r="R108" s="92"/>
      <c r="S108" s="92"/>
    </row>
    <row r="109" spans="1:19">
      <c r="A109" s="157"/>
      <c r="B109" s="92"/>
      <c r="C109" s="92"/>
      <c r="D109" s="92"/>
      <c r="E109" s="92"/>
      <c r="F109" s="92"/>
      <c r="G109" s="92"/>
      <c r="H109" s="92"/>
      <c r="I109" s="92"/>
      <c r="J109" s="92"/>
      <c r="K109" s="92"/>
      <c r="L109" s="92"/>
      <c r="M109" s="92"/>
      <c r="N109" s="92"/>
      <c r="O109" s="92"/>
      <c r="P109" s="92"/>
      <c r="Q109" s="92"/>
      <c r="R109" s="92"/>
      <c r="S109" s="92"/>
    </row>
    <row r="110" spans="1:19">
      <c r="A110" s="157"/>
      <c r="B110" s="92"/>
      <c r="C110" s="92"/>
      <c r="D110" s="92"/>
      <c r="E110" s="92"/>
      <c r="F110" s="92"/>
      <c r="G110" s="92"/>
      <c r="H110" s="92"/>
      <c r="I110" s="92"/>
      <c r="J110" s="92"/>
      <c r="K110" s="92"/>
      <c r="L110" s="92"/>
      <c r="M110" s="92"/>
      <c r="N110" s="92"/>
      <c r="O110" s="92"/>
      <c r="P110" s="92"/>
      <c r="Q110" s="92"/>
      <c r="R110" s="92"/>
      <c r="S110" s="92"/>
    </row>
    <row r="111" spans="1:19">
      <c r="A111" s="157"/>
      <c r="B111" s="92"/>
      <c r="C111" s="92"/>
      <c r="D111" s="92"/>
      <c r="E111" s="92"/>
      <c r="F111" s="92"/>
      <c r="G111" s="92"/>
      <c r="H111" s="92"/>
      <c r="I111" s="92"/>
      <c r="J111" s="92"/>
      <c r="K111" s="92"/>
      <c r="L111" s="92"/>
      <c r="M111" s="92"/>
      <c r="N111" s="92"/>
      <c r="O111" s="92"/>
      <c r="P111" s="92"/>
      <c r="Q111" s="92"/>
      <c r="R111" s="92"/>
      <c r="S111" s="92"/>
    </row>
    <row r="112" spans="1:19">
      <c r="A112" s="157"/>
      <c r="B112" s="92"/>
      <c r="C112" s="92"/>
      <c r="D112" s="92"/>
      <c r="E112" s="92"/>
      <c r="F112" s="92"/>
      <c r="G112" s="92"/>
      <c r="H112" s="92"/>
      <c r="I112" s="92"/>
      <c r="J112" s="92"/>
      <c r="K112" s="92"/>
      <c r="L112" s="92"/>
      <c r="M112" s="92"/>
      <c r="N112" s="92"/>
      <c r="O112" s="92"/>
      <c r="P112" s="92"/>
      <c r="Q112" s="92"/>
      <c r="R112" s="92"/>
      <c r="S112" s="92"/>
    </row>
    <row r="113" spans="1:19">
      <c r="A113" s="157"/>
      <c r="B113" s="92"/>
      <c r="C113" s="92"/>
      <c r="D113" s="92"/>
      <c r="E113" s="92"/>
      <c r="F113" s="92"/>
      <c r="G113" s="92"/>
      <c r="H113" s="92"/>
      <c r="I113" s="92"/>
      <c r="J113" s="92"/>
      <c r="K113" s="92"/>
      <c r="L113" s="92"/>
      <c r="M113" s="92"/>
      <c r="N113" s="92"/>
      <c r="O113" s="92"/>
      <c r="P113" s="92"/>
      <c r="Q113" s="92"/>
      <c r="R113" s="92"/>
      <c r="S113" s="92"/>
    </row>
    <row r="114" spans="1:19">
      <c r="A114" s="157"/>
      <c r="B114" s="92"/>
      <c r="C114" s="92"/>
      <c r="D114" s="92"/>
      <c r="E114" s="92"/>
      <c r="F114" s="92"/>
      <c r="G114" s="92"/>
      <c r="H114" s="92"/>
      <c r="I114" s="92"/>
      <c r="J114" s="92"/>
      <c r="K114" s="92"/>
      <c r="L114" s="92"/>
      <c r="M114" s="92"/>
      <c r="N114" s="92"/>
      <c r="O114" s="92"/>
      <c r="P114" s="92"/>
      <c r="Q114" s="92"/>
      <c r="R114" s="92"/>
      <c r="S114" s="92"/>
    </row>
    <row r="115" spans="1:19">
      <c r="A115" s="157"/>
      <c r="B115" s="92"/>
      <c r="C115" s="92"/>
      <c r="D115" s="92"/>
      <c r="E115" s="92"/>
      <c r="F115" s="92"/>
      <c r="G115" s="92"/>
      <c r="H115" s="92"/>
      <c r="I115" s="92"/>
      <c r="J115" s="92"/>
      <c r="K115" s="92"/>
      <c r="L115" s="92"/>
      <c r="M115" s="92"/>
      <c r="N115" s="92"/>
      <c r="O115" s="92"/>
      <c r="P115" s="92"/>
      <c r="Q115" s="92"/>
      <c r="R115" s="92"/>
      <c r="S115" s="92"/>
    </row>
    <row r="116" spans="1:19">
      <c r="A116" s="157"/>
      <c r="B116" s="92"/>
      <c r="C116" s="92"/>
      <c r="D116" s="92"/>
      <c r="E116" s="92"/>
      <c r="F116" s="92"/>
      <c r="G116" s="92"/>
      <c r="H116" s="92"/>
      <c r="I116" s="92"/>
      <c r="J116" s="92"/>
      <c r="K116" s="92"/>
      <c r="L116" s="92"/>
      <c r="M116" s="92"/>
      <c r="N116" s="92"/>
      <c r="O116" s="92"/>
      <c r="P116" s="92"/>
      <c r="Q116" s="92"/>
      <c r="R116" s="92"/>
      <c r="S116" s="92"/>
    </row>
    <row r="117" spans="1:19">
      <c r="A117" s="157"/>
      <c r="B117" s="92"/>
      <c r="C117" s="92"/>
      <c r="D117" s="92"/>
      <c r="E117" s="92"/>
      <c r="F117" s="92"/>
      <c r="G117" s="92"/>
      <c r="H117" s="92"/>
      <c r="I117" s="92"/>
      <c r="J117" s="92"/>
      <c r="K117" s="92"/>
      <c r="L117" s="92"/>
      <c r="M117" s="92"/>
      <c r="N117" s="92"/>
      <c r="O117" s="92"/>
      <c r="P117" s="92"/>
      <c r="Q117" s="92"/>
      <c r="R117" s="92"/>
      <c r="S117" s="92"/>
    </row>
    <row r="118" spans="1:19">
      <c r="A118" s="157"/>
      <c r="B118" s="92"/>
      <c r="C118" s="92"/>
      <c r="D118" s="92"/>
      <c r="E118" s="92"/>
      <c r="F118" s="92"/>
      <c r="G118" s="92"/>
      <c r="H118" s="92"/>
      <c r="I118" s="92"/>
      <c r="J118" s="92"/>
      <c r="K118" s="92"/>
      <c r="L118" s="92"/>
      <c r="M118" s="92"/>
      <c r="N118" s="92"/>
      <c r="O118" s="92"/>
      <c r="P118" s="92"/>
      <c r="Q118" s="92"/>
      <c r="R118" s="92"/>
      <c r="S118" s="92"/>
    </row>
    <row r="119" spans="1:19">
      <c r="A119" s="157"/>
      <c r="B119" s="92"/>
      <c r="C119" s="92"/>
      <c r="D119" s="92"/>
      <c r="E119" s="92"/>
      <c r="F119" s="92"/>
      <c r="G119" s="92"/>
      <c r="H119" s="92"/>
      <c r="I119" s="92"/>
      <c r="J119" s="92"/>
      <c r="K119" s="92"/>
      <c r="L119" s="92"/>
      <c r="M119" s="92"/>
      <c r="N119" s="92"/>
      <c r="O119" s="92"/>
      <c r="P119" s="92"/>
      <c r="Q119" s="92"/>
      <c r="R119" s="92"/>
      <c r="S119" s="92"/>
    </row>
    <row r="120" spans="1:19">
      <c r="A120" s="157"/>
      <c r="B120" s="92"/>
      <c r="C120" s="92"/>
      <c r="D120" s="92"/>
      <c r="E120" s="92"/>
      <c r="F120" s="92"/>
      <c r="G120" s="92"/>
      <c r="H120" s="92"/>
      <c r="I120" s="92"/>
      <c r="J120" s="92"/>
      <c r="K120" s="92"/>
      <c r="L120" s="92"/>
      <c r="M120" s="92"/>
      <c r="N120" s="92"/>
      <c r="O120" s="92"/>
      <c r="P120" s="92"/>
      <c r="Q120" s="92"/>
      <c r="R120" s="92"/>
      <c r="S120" s="92"/>
    </row>
    <row r="121" spans="1:19">
      <c r="A121" s="157"/>
      <c r="B121" s="92"/>
      <c r="C121" s="92"/>
      <c r="D121" s="92"/>
      <c r="E121" s="92"/>
      <c r="F121" s="92"/>
      <c r="G121" s="92"/>
      <c r="H121" s="92"/>
      <c r="I121" s="92"/>
      <c r="J121" s="92"/>
      <c r="K121" s="92"/>
      <c r="L121" s="92"/>
      <c r="M121" s="92"/>
      <c r="N121" s="92"/>
      <c r="O121" s="92"/>
      <c r="P121" s="92"/>
      <c r="Q121" s="92"/>
      <c r="R121" s="92"/>
      <c r="S121" s="92"/>
    </row>
    <row r="122" spans="1:19">
      <c r="A122" s="157"/>
      <c r="B122" s="92"/>
      <c r="C122" s="92"/>
      <c r="D122" s="92"/>
      <c r="E122" s="92"/>
      <c r="F122" s="92"/>
      <c r="G122" s="92"/>
      <c r="H122" s="92"/>
      <c r="I122" s="92"/>
      <c r="J122" s="92"/>
      <c r="K122" s="92"/>
      <c r="L122" s="92"/>
      <c r="M122" s="92"/>
      <c r="N122" s="92"/>
      <c r="O122" s="92"/>
      <c r="P122" s="92"/>
      <c r="Q122" s="92"/>
      <c r="R122" s="92"/>
      <c r="S122" s="92"/>
    </row>
    <row r="123" spans="1:19">
      <c r="A123" s="157"/>
      <c r="B123" s="92"/>
      <c r="C123" s="92"/>
      <c r="D123" s="92"/>
      <c r="E123" s="92"/>
      <c r="F123" s="92"/>
      <c r="G123" s="92"/>
      <c r="H123" s="92"/>
      <c r="I123" s="92"/>
      <c r="J123" s="92"/>
      <c r="K123" s="92"/>
      <c r="L123" s="92"/>
      <c r="M123" s="92"/>
      <c r="N123" s="92"/>
      <c r="O123" s="92"/>
      <c r="P123" s="92"/>
      <c r="Q123" s="92"/>
      <c r="R123" s="92"/>
      <c r="S123" s="92"/>
    </row>
    <row r="124" spans="1:19">
      <c r="A124" s="157"/>
      <c r="B124" s="92"/>
      <c r="C124" s="92"/>
      <c r="D124" s="92"/>
      <c r="E124" s="92"/>
      <c r="F124" s="92"/>
      <c r="G124" s="92"/>
      <c r="H124" s="92"/>
      <c r="I124" s="92"/>
      <c r="J124" s="92"/>
      <c r="K124" s="92"/>
      <c r="L124" s="92"/>
      <c r="M124" s="92"/>
      <c r="N124" s="92"/>
      <c r="O124" s="92"/>
      <c r="P124" s="92"/>
      <c r="Q124" s="92"/>
      <c r="R124" s="92"/>
      <c r="S124" s="92"/>
    </row>
    <row r="125" spans="1:19">
      <c r="A125" s="157"/>
      <c r="B125" s="92"/>
      <c r="C125" s="92"/>
      <c r="D125" s="92"/>
      <c r="E125" s="92"/>
      <c r="F125" s="92"/>
      <c r="G125" s="92"/>
      <c r="H125" s="92"/>
      <c r="I125" s="92"/>
      <c r="J125" s="92"/>
      <c r="K125" s="92"/>
      <c r="L125" s="92"/>
      <c r="M125" s="92"/>
      <c r="N125" s="92"/>
      <c r="O125" s="92"/>
      <c r="P125" s="92"/>
      <c r="Q125" s="92"/>
      <c r="R125" s="92"/>
      <c r="S125" s="92"/>
    </row>
    <row r="126" spans="1:19">
      <c r="A126" s="157"/>
      <c r="B126" s="92"/>
      <c r="C126" s="92"/>
      <c r="D126" s="92"/>
      <c r="E126" s="92"/>
      <c r="F126" s="92"/>
      <c r="G126" s="92"/>
      <c r="H126" s="92"/>
      <c r="I126" s="92"/>
      <c r="J126" s="92"/>
      <c r="K126" s="92"/>
      <c r="L126" s="92"/>
      <c r="M126" s="92"/>
      <c r="N126" s="92"/>
      <c r="O126" s="92"/>
      <c r="P126" s="92"/>
      <c r="Q126" s="92"/>
      <c r="R126" s="92"/>
      <c r="S126" s="92"/>
    </row>
    <row r="127" spans="1:19">
      <c r="A127" s="157"/>
      <c r="B127" s="92"/>
      <c r="C127" s="92"/>
      <c r="D127" s="92"/>
      <c r="E127" s="92"/>
      <c r="F127" s="92"/>
      <c r="G127" s="92"/>
      <c r="H127" s="92"/>
      <c r="I127" s="92"/>
      <c r="J127" s="92"/>
      <c r="K127" s="92"/>
      <c r="L127" s="92"/>
      <c r="M127" s="92"/>
      <c r="N127" s="92"/>
      <c r="O127" s="92"/>
      <c r="P127" s="92"/>
      <c r="Q127" s="92"/>
      <c r="R127" s="92"/>
      <c r="S127" s="92"/>
    </row>
    <row r="128" spans="1:19">
      <c r="A128" s="157"/>
      <c r="B128" s="92"/>
      <c r="C128" s="92"/>
      <c r="D128" s="92"/>
      <c r="E128" s="92"/>
      <c r="F128" s="92"/>
      <c r="G128" s="92"/>
      <c r="H128" s="92"/>
      <c r="I128" s="92"/>
      <c r="J128" s="92"/>
      <c r="K128" s="92"/>
      <c r="L128" s="92"/>
      <c r="M128" s="92"/>
      <c r="N128" s="92"/>
      <c r="O128" s="92"/>
      <c r="P128" s="92"/>
      <c r="Q128" s="92"/>
      <c r="R128" s="92"/>
      <c r="S128" s="92"/>
    </row>
    <row r="129" spans="1:19">
      <c r="A129" s="157"/>
      <c r="B129" s="92"/>
      <c r="C129" s="92"/>
      <c r="D129" s="92"/>
      <c r="E129" s="92"/>
      <c r="F129" s="92"/>
      <c r="G129" s="92"/>
      <c r="H129" s="92"/>
      <c r="I129" s="92"/>
      <c r="J129" s="92"/>
      <c r="K129" s="92"/>
      <c r="L129" s="92"/>
      <c r="M129" s="92"/>
      <c r="N129" s="92"/>
      <c r="O129" s="92"/>
      <c r="P129" s="92"/>
      <c r="Q129" s="92"/>
      <c r="R129" s="92"/>
      <c r="S129" s="92"/>
    </row>
    <row r="130" spans="1:19">
      <c r="A130" s="157"/>
      <c r="B130" s="92"/>
      <c r="C130" s="92"/>
      <c r="D130" s="92"/>
      <c r="E130" s="92"/>
      <c r="F130" s="92"/>
      <c r="G130" s="92"/>
      <c r="H130" s="92"/>
      <c r="I130" s="92"/>
      <c r="J130" s="92"/>
      <c r="K130" s="92"/>
      <c r="L130" s="92"/>
      <c r="M130" s="92"/>
      <c r="N130" s="92"/>
      <c r="O130" s="92"/>
      <c r="P130" s="92"/>
      <c r="Q130" s="92"/>
      <c r="R130" s="92"/>
      <c r="S130" s="92"/>
    </row>
    <row r="131" spans="1:19">
      <c r="A131" s="157"/>
      <c r="B131" s="92"/>
      <c r="C131" s="92"/>
      <c r="D131" s="92"/>
      <c r="E131" s="92"/>
      <c r="F131" s="92"/>
      <c r="G131" s="92"/>
      <c r="H131" s="92"/>
      <c r="I131" s="92"/>
      <c r="J131" s="92"/>
      <c r="K131" s="92"/>
      <c r="L131" s="92"/>
      <c r="M131" s="92"/>
      <c r="N131" s="92"/>
      <c r="O131" s="92"/>
      <c r="P131" s="92"/>
      <c r="Q131" s="92"/>
      <c r="R131" s="92"/>
      <c r="S131" s="92"/>
    </row>
    <row r="132" spans="1:19">
      <c r="A132" s="157"/>
      <c r="B132" s="92"/>
      <c r="C132" s="92"/>
      <c r="D132" s="92"/>
      <c r="E132" s="92"/>
      <c r="F132" s="92"/>
      <c r="G132" s="92"/>
      <c r="H132" s="92"/>
      <c r="I132" s="92"/>
      <c r="J132" s="92"/>
      <c r="K132" s="92"/>
      <c r="L132" s="92"/>
      <c r="M132" s="92"/>
      <c r="N132" s="92"/>
      <c r="O132" s="92"/>
      <c r="P132" s="92"/>
      <c r="Q132" s="92"/>
      <c r="R132" s="92"/>
      <c r="S132" s="92"/>
    </row>
    <row r="133" spans="1:19">
      <c r="A133" s="157"/>
      <c r="B133" s="92"/>
      <c r="C133" s="92"/>
      <c r="D133" s="92"/>
      <c r="E133" s="92"/>
      <c r="F133" s="92"/>
      <c r="G133" s="92"/>
      <c r="H133" s="92"/>
      <c r="I133" s="92"/>
      <c r="J133" s="92"/>
      <c r="K133" s="92"/>
      <c r="L133" s="92"/>
      <c r="M133" s="92"/>
      <c r="N133" s="92"/>
      <c r="O133" s="92"/>
      <c r="P133" s="92"/>
      <c r="Q133" s="92"/>
      <c r="R133" s="92"/>
      <c r="S133" s="92"/>
    </row>
    <row r="134" spans="1:19">
      <c r="A134" s="157"/>
      <c r="B134" s="92"/>
      <c r="C134" s="92"/>
      <c r="D134" s="92"/>
      <c r="E134" s="92"/>
      <c r="F134" s="92"/>
      <c r="G134" s="92"/>
      <c r="H134" s="92"/>
      <c r="I134" s="92"/>
      <c r="J134" s="92"/>
      <c r="K134" s="92"/>
      <c r="L134" s="92"/>
      <c r="M134" s="92"/>
      <c r="N134" s="92"/>
      <c r="O134" s="92"/>
      <c r="P134" s="92"/>
      <c r="Q134" s="92"/>
      <c r="R134" s="92"/>
      <c r="S134" s="92"/>
    </row>
    <row r="135" spans="1:19">
      <c r="A135" s="157"/>
      <c r="B135" s="92"/>
      <c r="C135" s="92"/>
      <c r="D135" s="92"/>
      <c r="E135" s="92"/>
      <c r="F135" s="92"/>
      <c r="G135" s="92"/>
      <c r="H135" s="92"/>
      <c r="I135" s="92"/>
      <c r="J135" s="92"/>
      <c r="K135" s="92"/>
      <c r="L135" s="92"/>
      <c r="M135" s="92"/>
      <c r="N135" s="92"/>
      <c r="O135" s="92"/>
      <c r="P135" s="92"/>
      <c r="Q135" s="92"/>
      <c r="R135" s="92"/>
      <c r="S135" s="92"/>
    </row>
    <row r="136" spans="1:19">
      <c r="A136" s="157"/>
      <c r="B136" s="92"/>
      <c r="C136" s="92"/>
      <c r="D136" s="92"/>
      <c r="E136" s="92"/>
      <c r="F136" s="92"/>
      <c r="G136" s="92"/>
      <c r="H136" s="92"/>
      <c r="I136" s="92"/>
      <c r="J136" s="92"/>
      <c r="K136" s="92"/>
      <c r="L136" s="92"/>
      <c r="M136" s="92"/>
      <c r="N136" s="92"/>
      <c r="O136" s="92"/>
      <c r="P136" s="92"/>
      <c r="Q136" s="92"/>
      <c r="R136" s="92"/>
      <c r="S136" s="92"/>
    </row>
    <row r="137" spans="1:19">
      <c r="A137" s="157"/>
      <c r="B137" s="92"/>
      <c r="C137" s="92"/>
      <c r="D137" s="92"/>
      <c r="E137" s="92"/>
      <c r="F137" s="92"/>
      <c r="G137" s="92"/>
      <c r="H137" s="92"/>
      <c r="I137" s="92"/>
      <c r="J137" s="92"/>
      <c r="K137" s="92"/>
      <c r="L137" s="92"/>
      <c r="M137" s="92"/>
      <c r="N137" s="92"/>
      <c r="O137" s="92"/>
      <c r="P137" s="92"/>
      <c r="Q137" s="92"/>
      <c r="R137" s="92"/>
      <c r="S137" s="92"/>
    </row>
    <row r="138" spans="1:19">
      <c r="A138" s="157"/>
      <c r="B138" s="92"/>
      <c r="C138" s="92"/>
      <c r="D138" s="92"/>
      <c r="E138" s="92"/>
      <c r="F138" s="92"/>
      <c r="G138" s="92"/>
      <c r="H138" s="92"/>
      <c r="I138" s="92"/>
      <c r="J138" s="92"/>
      <c r="K138" s="92"/>
      <c r="L138" s="92"/>
      <c r="M138" s="92"/>
      <c r="N138" s="92"/>
      <c r="O138" s="92"/>
      <c r="P138" s="92"/>
      <c r="Q138" s="92"/>
      <c r="R138" s="92"/>
      <c r="S138" s="92"/>
    </row>
    <row r="139" spans="1:19">
      <c r="A139" s="157"/>
      <c r="B139" s="92"/>
      <c r="C139" s="92"/>
      <c r="D139" s="92"/>
      <c r="E139" s="92"/>
      <c r="F139" s="92"/>
      <c r="G139" s="92"/>
      <c r="H139" s="92"/>
      <c r="I139" s="92"/>
      <c r="J139" s="92"/>
      <c r="K139" s="92"/>
      <c r="L139" s="92"/>
      <c r="M139" s="92"/>
      <c r="N139" s="92"/>
      <c r="O139" s="92"/>
      <c r="P139" s="92"/>
      <c r="Q139" s="92"/>
      <c r="R139" s="92"/>
      <c r="S139" s="92"/>
    </row>
    <row r="140" spans="1:19">
      <c r="A140" s="157"/>
      <c r="B140" s="92"/>
      <c r="C140" s="92"/>
      <c r="D140" s="92"/>
      <c r="E140" s="92"/>
      <c r="F140" s="92"/>
      <c r="G140" s="92"/>
      <c r="H140" s="92"/>
      <c r="I140" s="92"/>
      <c r="J140" s="92"/>
      <c r="K140" s="92"/>
      <c r="L140" s="92"/>
      <c r="M140" s="92"/>
      <c r="N140" s="92"/>
      <c r="O140" s="92"/>
      <c r="P140" s="92"/>
      <c r="Q140" s="92"/>
      <c r="R140" s="92"/>
      <c r="S140" s="92"/>
    </row>
    <row r="141" spans="1:19">
      <c r="A141" s="157"/>
      <c r="B141" s="92"/>
      <c r="C141" s="92"/>
      <c r="D141" s="92"/>
      <c r="E141" s="92"/>
      <c r="F141" s="92"/>
      <c r="G141" s="92"/>
      <c r="H141" s="92"/>
      <c r="I141" s="92"/>
      <c r="J141" s="92"/>
      <c r="K141" s="92"/>
      <c r="L141" s="92"/>
      <c r="M141" s="92"/>
      <c r="N141" s="92"/>
      <c r="O141" s="92"/>
      <c r="P141" s="92"/>
      <c r="Q141" s="92"/>
      <c r="R141" s="92"/>
      <c r="S141" s="92"/>
    </row>
    <row r="142" spans="1:19">
      <c r="A142" s="157"/>
      <c r="B142" s="92"/>
      <c r="C142" s="92"/>
      <c r="D142" s="92"/>
      <c r="E142" s="92"/>
      <c r="F142" s="92"/>
      <c r="G142" s="92"/>
      <c r="H142" s="92"/>
      <c r="I142" s="92"/>
      <c r="J142" s="92"/>
      <c r="K142" s="92"/>
      <c r="L142" s="92"/>
      <c r="M142" s="92"/>
      <c r="N142" s="92"/>
      <c r="O142" s="92"/>
      <c r="P142" s="92"/>
      <c r="Q142" s="92"/>
      <c r="R142" s="92"/>
      <c r="S142" s="92"/>
    </row>
    <row r="143" spans="1:19">
      <c r="A143" s="157"/>
      <c r="B143" s="92"/>
      <c r="C143" s="92"/>
      <c r="D143" s="92"/>
      <c r="E143" s="92"/>
      <c r="F143" s="92"/>
      <c r="G143" s="92"/>
      <c r="H143" s="92"/>
      <c r="I143" s="92"/>
      <c r="J143" s="92"/>
      <c r="K143" s="92"/>
      <c r="L143" s="92"/>
      <c r="M143" s="92"/>
      <c r="N143" s="92"/>
      <c r="O143" s="92"/>
      <c r="P143" s="92"/>
      <c r="Q143" s="92"/>
      <c r="R143" s="92"/>
      <c r="S143" s="92"/>
    </row>
    <row r="144" spans="1:19">
      <c r="A144" s="157"/>
      <c r="B144" s="92"/>
      <c r="C144" s="92"/>
      <c r="D144" s="92"/>
      <c r="E144" s="92"/>
      <c r="F144" s="92"/>
      <c r="G144" s="92"/>
      <c r="H144" s="92"/>
      <c r="I144" s="92"/>
      <c r="J144" s="92"/>
      <c r="K144" s="92"/>
      <c r="L144" s="92"/>
      <c r="M144" s="92"/>
      <c r="N144" s="92"/>
      <c r="O144" s="92"/>
      <c r="P144" s="92"/>
      <c r="Q144" s="92"/>
      <c r="R144" s="92"/>
      <c r="S144" s="92"/>
    </row>
    <row r="145" spans="1:19">
      <c r="A145" s="157"/>
      <c r="B145" s="92"/>
      <c r="C145" s="92"/>
      <c r="D145" s="92"/>
      <c r="E145" s="92"/>
      <c r="F145" s="92"/>
      <c r="G145" s="92"/>
      <c r="H145" s="92"/>
      <c r="I145" s="92"/>
      <c r="J145" s="92"/>
      <c r="K145" s="92"/>
      <c r="L145" s="92"/>
      <c r="M145" s="92"/>
      <c r="N145" s="92"/>
      <c r="O145" s="92"/>
      <c r="P145" s="92"/>
      <c r="Q145" s="92"/>
      <c r="R145" s="92"/>
      <c r="S145" s="92"/>
    </row>
    <row r="146" spans="1:19">
      <c r="A146" s="157"/>
      <c r="B146" s="92"/>
      <c r="C146" s="92"/>
      <c r="D146" s="92"/>
      <c r="E146" s="92"/>
      <c r="F146" s="92"/>
      <c r="G146" s="92"/>
      <c r="H146" s="92"/>
      <c r="I146" s="92"/>
      <c r="J146" s="92"/>
      <c r="K146" s="92"/>
      <c r="L146" s="92"/>
      <c r="M146" s="92"/>
      <c r="N146" s="92"/>
      <c r="O146" s="92"/>
      <c r="P146" s="92"/>
      <c r="Q146" s="92"/>
      <c r="R146" s="92"/>
      <c r="S146" s="92"/>
    </row>
    <row r="147" spans="1:19">
      <c r="A147" s="157"/>
      <c r="B147" s="92"/>
      <c r="C147" s="92"/>
      <c r="D147" s="92"/>
      <c r="E147" s="92"/>
      <c r="F147" s="92"/>
      <c r="G147" s="92"/>
      <c r="H147" s="92"/>
      <c r="I147" s="92"/>
      <c r="J147" s="92"/>
      <c r="K147" s="92"/>
      <c r="L147" s="92"/>
      <c r="M147" s="92"/>
      <c r="N147" s="92"/>
      <c r="O147" s="92"/>
      <c r="P147" s="92"/>
      <c r="Q147" s="92"/>
      <c r="R147" s="92"/>
      <c r="S147" s="92"/>
    </row>
    <row r="148" spans="1:19">
      <c r="A148" s="157"/>
      <c r="B148" s="92"/>
      <c r="C148" s="92"/>
      <c r="D148" s="92"/>
      <c r="E148" s="92"/>
      <c r="F148" s="92"/>
      <c r="G148" s="92"/>
      <c r="H148" s="92"/>
      <c r="I148" s="92"/>
      <c r="J148" s="92"/>
      <c r="K148" s="92"/>
      <c r="L148" s="92"/>
      <c r="M148" s="92"/>
      <c r="N148" s="92"/>
      <c r="O148" s="92"/>
      <c r="P148" s="92"/>
      <c r="Q148" s="92"/>
      <c r="R148" s="92"/>
      <c r="S148" s="92"/>
    </row>
    <row r="149" spans="1:19">
      <c r="A149" s="157"/>
      <c r="B149" s="92"/>
      <c r="C149" s="92"/>
      <c r="D149" s="92"/>
      <c r="E149" s="92"/>
      <c r="F149" s="92"/>
      <c r="G149" s="92"/>
      <c r="H149" s="92"/>
      <c r="I149" s="92"/>
      <c r="J149" s="92"/>
      <c r="K149" s="92"/>
      <c r="L149" s="92"/>
      <c r="M149" s="92"/>
      <c r="N149" s="92"/>
      <c r="O149" s="92"/>
      <c r="P149" s="92"/>
      <c r="Q149" s="92"/>
      <c r="R149" s="92"/>
      <c r="S149" s="92"/>
    </row>
    <row r="150" spans="1:19">
      <c r="A150" s="157"/>
      <c r="B150" s="92"/>
      <c r="C150" s="92"/>
      <c r="D150" s="92"/>
      <c r="E150" s="92"/>
      <c r="F150" s="92"/>
      <c r="G150" s="92"/>
      <c r="H150" s="92"/>
      <c r="I150" s="92"/>
      <c r="J150" s="92"/>
      <c r="K150" s="92"/>
      <c r="L150" s="92"/>
      <c r="M150" s="92"/>
      <c r="N150" s="92"/>
      <c r="O150" s="92"/>
      <c r="P150" s="92"/>
      <c r="Q150" s="92"/>
      <c r="R150" s="92"/>
      <c r="S150" s="92"/>
    </row>
    <row r="151" spans="1:19">
      <c r="A151" s="157"/>
      <c r="B151" s="92"/>
      <c r="C151" s="92"/>
      <c r="D151" s="92"/>
      <c r="E151" s="92"/>
      <c r="F151" s="92"/>
      <c r="G151" s="92"/>
      <c r="H151" s="92"/>
      <c r="I151" s="92"/>
      <c r="J151" s="92"/>
      <c r="K151" s="92"/>
      <c r="L151" s="92"/>
      <c r="M151" s="92"/>
      <c r="N151" s="92"/>
      <c r="O151" s="92"/>
      <c r="P151" s="92"/>
      <c r="Q151" s="92"/>
      <c r="R151" s="92"/>
      <c r="S151" s="92"/>
    </row>
    <row r="152" spans="1:19">
      <c r="A152" s="157"/>
      <c r="B152" s="92"/>
      <c r="C152" s="92"/>
      <c r="D152" s="92"/>
      <c r="E152" s="92"/>
      <c r="F152" s="92"/>
      <c r="G152" s="92"/>
      <c r="H152" s="92"/>
      <c r="I152" s="92"/>
      <c r="J152" s="92"/>
      <c r="K152" s="92"/>
      <c r="L152" s="92"/>
      <c r="M152" s="92"/>
      <c r="N152" s="92"/>
      <c r="O152" s="92"/>
      <c r="P152" s="92"/>
      <c r="Q152" s="92"/>
      <c r="R152" s="92"/>
      <c r="S152" s="92"/>
    </row>
    <row r="153" spans="1:19">
      <c r="A153" s="157"/>
      <c r="B153" s="92"/>
      <c r="C153" s="92"/>
      <c r="D153" s="92"/>
      <c r="E153" s="92"/>
      <c r="F153" s="92"/>
      <c r="G153" s="92"/>
      <c r="H153" s="92"/>
      <c r="I153" s="92"/>
      <c r="J153" s="92"/>
      <c r="K153" s="92"/>
      <c r="L153" s="92"/>
      <c r="M153" s="92"/>
      <c r="N153" s="92"/>
      <c r="O153" s="92"/>
      <c r="P153" s="92"/>
      <c r="Q153" s="92"/>
      <c r="R153" s="92"/>
      <c r="S153" s="92"/>
    </row>
    <row r="154" spans="1:19">
      <c r="A154" s="157"/>
      <c r="B154" s="92"/>
      <c r="C154" s="92"/>
      <c r="D154" s="92"/>
      <c r="E154" s="92"/>
      <c r="F154" s="92"/>
      <c r="G154" s="92"/>
      <c r="H154" s="92"/>
      <c r="I154" s="92"/>
      <c r="J154" s="92"/>
      <c r="K154" s="92"/>
      <c r="L154" s="92"/>
      <c r="M154" s="92"/>
      <c r="N154" s="92"/>
      <c r="O154" s="92"/>
      <c r="P154" s="92"/>
      <c r="Q154" s="92"/>
      <c r="R154" s="92"/>
      <c r="S154" s="92"/>
    </row>
    <row r="155" spans="1:19">
      <c r="A155" s="157"/>
      <c r="B155" s="92"/>
      <c r="C155" s="92"/>
      <c r="D155" s="92"/>
      <c r="E155" s="92"/>
      <c r="F155" s="92"/>
      <c r="G155" s="92"/>
      <c r="H155" s="92"/>
      <c r="I155" s="92"/>
      <c r="J155" s="92"/>
      <c r="K155" s="92"/>
      <c r="L155" s="92"/>
      <c r="M155" s="92"/>
      <c r="N155" s="92"/>
      <c r="O155" s="92"/>
      <c r="P155" s="92"/>
      <c r="Q155" s="92"/>
      <c r="R155" s="92"/>
      <c r="S155" s="92"/>
    </row>
    <row r="156" spans="1:19">
      <c r="A156" s="157"/>
      <c r="B156" s="92"/>
      <c r="C156" s="92"/>
      <c r="D156" s="92"/>
      <c r="E156" s="92"/>
      <c r="F156" s="92"/>
      <c r="G156" s="92"/>
      <c r="H156" s="92"/>
      <c r="I156" s="92"/>
      <c r="J156" s="92"/>
      <c r="K156" s="92"/>
      <c r="L156" s="92"/>
      <c r="M156" s="92"/>
      <c r="N156" s="92"/>
      <c r="O156" s="92"/>
      <c r="P156" s="92"/>
      <c r="Q156" s="92"/>
      <c r="R156" s="92"/>
      <c r="S156" s="92"/>
    </row>
    <row r="157" spans="1:19">
      <c r="A157" s="157"/>
      <c r="B157" s="92"/>
      <c r="C157" s="92"/>
      <c r="D157" s="92"/>
      <c r="E157" s="92"/>
      <c r="F157" s="92"/>
      <c r="G157" s="92"/>
      <c r="H157" s="92"/>
      <c r="I157" s="92"/>
      <c r="J157" s="92"/>
      <c r="K157" s="92"/>
      <c r="L157" s="92"/>
      <c r="M157" s="92"/>
      <c r="N157" s="92"/>
      <c r="O157" s="92"/>
      <c r="P157" s="92"/>
      <c r="Q157" s="92"/>
      <c r="R157" s="92"/>
      <c r="S157" s="92"/>
    </row>
    <row r="158" spans="1:19">
      <c r="A158" s="157"/>
      <c r="B158" s="92"/>
      <c r="C158" s="92"/>
      <c r="D158" s="92"/>
      <c r="E158" s="92"/>
      <c r="F158" s="92"/>
      <c r="G158" s="92"/>
      <c r="H158" s="92"/>
      <c r="I158" s="92"/>
      <c r="J158" s="92"/>
      <c r="K158" s="92"/>
      <c r="L158" s="92"/>
      <c r="M158" s="92"/>
      <c r="N158" s="92"/>
      <c r="O158" s="92"/>
      <c r="P158" s="92"/>
      <c r="Q158" s="92"/>
      <c r="R158" s="92"/>
      <c r="S158" s="92"/>
    </row>
    <row r="159" spans="1:19">
      <c r="A159" s="157"/>
      <c r="B159" s="92"/>
      <c r="C159" s="92"/>
      <c r="D159" s="92"/>
      <c r="E159" s="92"/>
      <c r="F159" s="92"/>
      <c r="G159" s="92"/>
      <c r="H159" s="92"/>
      <c r="I159" s="92"/>
      <c r="J159" s="92"/>
      <c r="K159" s="92"/>
      <c r="L159" s="92"/>
      <c r="M159" s="92"/>
      <c r="N159" s="92"/>
      <c r="O159" s="92"/>
      <c r="P159" s="92"/>
      <c r="Q159" s="92"/>
      <c r="R159" s="92"/>
      <c r="S159" s="92"/>
    </row>
    <row r="160" spans="1:19">
      <c r="A160" s="157"/>
      <c r="B160" s="92"/>
      <c r="C160" s="92"/>
      <c r="D160" s="92"/>
      <c r="E160" s="92"/>
      <c r="F160" s="92"/>
      <c r="G160" s="92"/>
      <c r="H160" s="92"/>
      <c r="I160" s="92"/>
      <c r="J160" s="92"/>
      <c r="K160" s="92"/>
      <c r="L160" s="92"/>
      <c r="M160" s="92"/>
      <c r="N160" s="92"/>
      <c r="O160" s="92"/>
      <c r="P160" s="92"/>
      <c r="Q160" s="92"/>
      <c r="R160" s="92"/>
      <c r="S160" s="92"/>
    </row>
    <row r="161" spans="1:19">
      <c r="A161" s="157"/>
      <c r="B161" s="92"/>
      <c r="C161" s="92"/>
      <c r="D161" s="92"/>
      <c r="E161" s="92"/>
      <c r="F161" s="92"/>
      <c r="G161" s="92"/>
      <c r="H161" s="92"/>
      <c r="I161" s="92"/>
      <c r="J161" s="92"/>
      <c r="K161" s="92"/>
      <c r="L161" s="92"/>
      <c r="M161" s="92"/>
      <c r="N161" s="92"/>
      <c r="O161" s="92"/>
      <c r="P161" s="92"/>
      <c r="Q161" s="92"/>
      <c r="R161" s="92"/>
      <c r="S161" s="92"/>
    </row>
    <row r="162" spans="1:19">
      <c r="A162" s="157"/>
      <c r="B162" s="92"/>
      <c r="C162" s="92"/>
      <c r="D162" s="92"/>
      <c r="E162" s="92"/>
      <c r="F162" s="92"/>
      <c r="G162" s="92"/>
      <c r="H162" s="92"/>
      <c r="I162" s="92"/>
      <c r="J162" s="92"/>
      <c r="K162" s="92"/>
      <c r="L162" s="92"/>
      <c r="M162" s="92"/>
      <c r="N162" s="92"/>
      <c r="O162" s="92"/>
      <c r="P162" s="92"/>
      <c r="Q162" s="92"/>
      <c r="R162" s="92"/>
      <c r="S162" s="92"/>
    </row>
    <row r="163" spans="1:19">
      <c r="A163" s="157"/>
      <c r="B163" s="92"/>
      <c r="C163" s="92"/>
      <c r="D163" s="92"/>
      <c r="E163" s="92"/>
      <c r="F163" s="92"/>
      <c r="G163" s="92"/>
      <c r="H163" s="92"/>
      <c r="I163" s="92"/>
      <c r="J163" s="92"/>
      <c r="K163" s="92"/>
      <c r="L163" s="92"/>
      <c r="M163" s="92"/>
      <c r="N163" s="92"/>
      <c r="O163" s="92"/>
      <c r="P163" s="92"/>
      <c r="Q163" s="92"/>
      <c r="R163" s="92"/>
      <c r="S163" s="92"/>
    </row>
    <row r="164" spans="1:19">
      <c r="A164" s="157"/>
      <c r="B164" s="92"/>
      <c r="C164" s="92"/>
      <c r="D164" s="92"/>
      <c r="E164" s="92"/>
      <c r="F164" s="92"/>
      <c r="G164" s="92"/>
      <c r="H164" s="92"/>
      <c r="I164" s="92"/>
      <c r="J164" s="92"/>
      <c r="K164" s="92"/>
      <c r="L164" s="92"/>
      <c r="M164" s="92"/>
      <c r="N164" s="92"/>
      <c r="O164" s="92"/>
      <c r="P164" s="92"/>
      <c r="Q164" s="92"/>
      <c r="R164" s="92"/>
      <c r="S164" s="92"/>
    </row>
    <row r="165" spans="1:19">
      <c r="A165" s="157"/>
      <c r="B165" s="92"/>
      <c r="C165" s="92"/>
      <c r="D165" s="92"/>
      <c r="E165" s="92"/>
      <c r="F165" s="92"/>
      <c r="G165" s="92"/>
      <c r="H165" s="92"/>
      <c r="I165" s="92"/>
      <c r="J165" s="92"/>
      <c r="K165" s="92"/>
      <c r="L165" s="92"/>
      <c r="M165" s="92"/>
      <c r="N165" s="92"/>
      <c r="O165" s="92"/>
      <c r="P165" s="92"/>
      <c r="Q165" s="92"/>
      <c r="R165" s="92"/>
      <c r="S165" s="92"/>
    </row>
    <row r="166" spans="1:19">
      <c r="A166" s="157"/>
      <c r="B166" s="92"/>
      <c r="C166" s="92"/>
      <c r="D166" s="92"/>
      <c r="E166" s="92"/>
      <c r="F166" s="92"/>
      <c r="G166" s="92"/>
      <c r="H166" s="92"/>
      <c r="I166" s="92"/>
      <c r="J166" s="92"/>
      <c r="K166" s="92"/>
      <c r="L166" s="92"/>
      <c r="M166" s="92"/>
      <c r="N166" s="92"/>
      <c r="O166" s="92"/>
      <c r="P166" s="92"/>
      <c r="Q166" s="92"/>
      <c r="R166" s="92"/>
      <c r="S166" s="92"/>
    </row>
    <row r="167" spans="1:19">
      <c r="A167" s="157"/>
      <c r="B167" s="92"/>
      <c r="C167" s="92"/>
      <c r="D167" s="92"/>
      <c r="E167" s="92"/>
      <c r="F167" s="92"/>
      <c r="G167" s="92"/>
      <c r="H167" s="92"/>
      <c r="I167" s="92"/>
      <c r="J167" s="92"/>
      <c r="K167" s="92"/>
      <c r="L167" s="92"/>
      <c r="M167" s="92"/>
      <c r="N167" s="92"/>
      <c r="O167" s="92"/>
      <c r="P167" s="92"/>
      <c r="Q167" s="92"/>
      <c r="R167" s="92"/>
      <c r="S167" s="92"/>
    </row>
    <row r="168" spans="1:19">
      <c r="A168" s="157"/>
      <c r="B168" s="92"/>
      <c r="C168" s="92"/>
      <c r="D168" s="92"/>
      <c r="E168" s="92"/>
      <c r="F168" s="92"/>
      <c r="G168" s="92"/>
      <c r="H168" s="92"/>
      <c r="I168" s="92"/>
      <c r="J168" s="92"/>
      <c r="K168" s="92"/>
      <c r="L168" s="92"/>
      <c r="M168" s="92"/>
      <c r="N168" s="92"/>
      <c r="O168" s="92"/>
      <c r="P168" s="92"/>
      <c r="Q168" s="92"/>
      <c r="R168" s="92"/>
      <c r="S168" s="92"/>
    </row>
    <row r="169" spans="1:19">
      <c r="A169" s="157"/>
      <c r="B169" s="92"/>
      <c r="C169" s="92"/>
      <c r="D169" s="92"/>
      <c r="E169" s="92"/>
      <c r="F169" s="92"/>
      <c r="G169" s="92"/>
      <c r="H169" s="92"/>
      <c r="I169" s="92"/>
      <c r="J169" s="92"/>
      <c r="K169" s="92"/>
      <c r="L169" s="92"/>
      <c r="M169" s="92"/>
      <c r="N169" s="92"/>
      <c r="O169" s="92"/>
      <c r="P169" s="92"/>
      <c r="Q169" s="92"/>
      <c r="R169" s="92"/>
      <c r="S169" s="92"/>
    </row>
    <row r="170" spans="1:19">
      <c r="A170" s="157"/>
      <c r="B170" s="92"/>
      <c r="C170" s="92"/>
      <c r="D170" s="92"/>
      <c r="E170" s="92"/>
      <c r="F170" s="92"/>
      <c r="G170" s="92"/>
      <c r="H170" s="92"/>
      <c r="I170" s="92"/>
      <c r="J170" s="92"/>
      <c r="K170" s="92"/>
      <c r="L170" s="92"/>
      <c r="M170" s="92"/>
      <c r="N170" s="92"/>
      <c r="O170" s="92"/>
      <c r="P170" s="92"/>
      <c r="Q170" s="92"/>
      <c r="R170" s="92"/>
      <c r="S170" s="92"/>
    </row>
    <row r="171" spans="1:19">
      <c r="A171" s="157"/>
      <c r="B171" s="92"/>
      <c r="C171" s="92"/>
      <c r="D171" s="92"/>
      <c r="E171" s="92"/>
      <c r="F171" s="92"/>
      <c r="G171" s="92"/>
      <c r="H171" s="92"/>
      <c r="I171" s="92"/>
      <c r="J171" s="92"/>
      <c r="K171" s="92"/>
      <c r="L171" s="92"/>
      <c r="M171" s="92"/>
      <c r="N171" s="92"/>
      <c r="O171" s="92"/>
      <c r="P171" s="92"/>
      <c r="Q171" s="92"/>
      <c r="R171" s="92"/>
      <c r="S171" s="92"/>
    </row>
    <row r="172" spans="1:19">
      <c r="A172" s="157"/>
      <c r="B172" s="92"/>
      <c r="C172" s="92"/>
      <c r="D172" s="92"/>
      <c r="E172" s="92"/>
      <c r="F172" s="92"/>
      <c r="G172" s="92"/>
      <c r="H172" s="92"/>
      <c r="I172" s="92"/>
      <c r="J172" s="92"/>
      <c r="K172" s="92"/>
      <c r="L172" s="92"/>
      <c r="M172" s="92"/>
      <c r="N172" s="92"/>
      <c r="O172" s="92"/>
      <c r="P172" s="92"/>
      <c r="Q172" s="92"/>
      <c r="R172" s="92"/>
      <c r="S172" s="92"/>
    </row>
    <row r="173" spans="1:19">
      <c r="A173" s="157"/>
      <c r="B173" s="92"/>
      <c r="C173" s="92"/>
      <c r="D173" s="92"/>
      <c r="E173" s="92"/>
      <c r="F173" s="92"/>
      <c r="G173" s="92"/>
      <c r="H173" s="92"/>
      <c r="I173" s="92"/>
      <c r="J173" s="92"/>
      <c r="K173" s="92"/>
      <c r="L173" s="92"/>
      <c r="M173" s="92"/>
      <c r="N173" s="92"/>
      <c r="O173" s="92"/>
      <c r="P173" s="92"/>
      <c r="Q173" s="92"/>
      <c r="R173" s="92"/>
      <c r="S173" s="92"/>
    </row>
    <row r="174" spans="1:19">
      <c r="A174" s="157"/>
      <c r="B174" s="92"/>
      <c r="C174" s="92"/>
      <c r="D174" s="92"/>
      <c r="E174" s="92"/>
      <c r="F174" s="92"/>
      <c r="G174" s="92"/>
      <c r="H174" s="92"/>
      <c r="I174" s="92"/>
      <c r="J174" s="92"/>
      <c r="K174" s="92"/>
      <c r="L174" s="92"/>
      <c r="M174" s="92"/>
      <c r="N174" s="92"/>
      <c r="O174" s="92"/>
      <c r="P174" s="92"/>
      <c r="Q174" s="92"/>
      <c r="R174" s="92"/>
      <c r="S174" s="92"/>
    </row>
    <row r="175" spans="1:19">
      <c r="A175" s="157"/>
      <c r="B175" s="92"/>
      <c r="C175" s="92"/>
      <c r="D175" s="92"/>
      <c r="E175" s="92"/>
      <c r="F175" s="92"/>
      <c r="G175" s="92"/>
      <c r="H175" s="92"/>
      <c r="I175" s="92"/>
      <c r="J175" s="92"/>
      <c r="K175" s="92"/>
      <c r="L175" s="92"/>
      <c r="M175" s="92"/>
      <c r="N175" s="92"/>
      <c r="O175" s="92"/>
      <c r="P175" s="92"/>
      <c r="Q175" s="92"/>
      <c r="R175" s="92"/>
      <c r="S175" s="92"/>
    </row>
    <row r="176" spans="1:19">
      <c r="A176" s="157"/>
      <c r="B176" s="92"/>
      <c r="C176" s="92"/>
      <c r="D176" s="92"/>
      <c r="E176" s="92"/>
      <c r="F176" s="92"/>
      <c r="G176" s="92"/>
      <c r="H176" s="92"/>
      <c r="I176" s="92"/>
      <c r="J176" s="92"/>
      <c r="K176" s="92"/>
      <c r="L176" s="92"/>
      <c r="M176" s="92"/>
      <c r="N176" s="92"/>
      <c r="O176" s="92"/>
      <c r="P176" s="92"/>
      <c r="Q176" s="92"/>
      <c r="R176" s="92"/>
      <c r="S176" s="92"/>
    </row>
    <row r="177" spans="1:19">
      <c r="A177" s="157"/>
      <c r="B177" s="92"/>
      <c r="C177" s="92"/>
      <c r="D177" s="92"/>
      <c r="E177" s="92"/>
      <c r="F177" s="92"/>
      <c r="G177" s="92"/>
      <c r="H177" s="92"/>
      <c r="I177" s="92"/>
      <c r="J177" s="92"/>
      <c r="K177" s="92"/>
      <c r="L177" s="92"/>
      <c r="M177" s="92"/>
      <c r="N177" s="92"/>
      <c r="O177" s="92"/>
      <c r="P177" s="92"/>
      <c r="Q177" s="92"/>
      <c r="R177" s="92"/>
      <c r="S177" s="92"/>
    </row>
    <row r="178" spans="1:19">
      <c r="A178" s="157"/>
      <c r="B178" s="92"/>
      <c r="C178" s="92"/>
      <c r="D178" s="92"/>
      <c r="E178" s="92"/>
      <c r="F178" s="92"/>
      <c r="G178" s="92"/>
      <c r="H178" s="92"/>
      <c r="I178" s="92"/>
      <c r="J178" s="92"/>
      <c r="K178" s="92"/>
      <c r="L178" s="92"/>
      <c r="M178" s="92"/>
      <c r="N178" s="92"/>
      <c r="O178" s="92"/>
      <c r="P178" s="92"/>
      <c r="Q178" s="92"/>
      <c r="R178" s="92"/>
      <c r="S178" s="92"/>
    </row>
    <row r="179" spans="1:19">
      <c r="A179" s="157"/>
      <c r="B179" s="92"/>
      <c r="C179" s="92"/>
      <c r="D179" s="92"/>
      <c r="E179" s="92"/>
      <c r="F179" s="92"/>
      <c r="G179" s="92"/>
      <c r="H179" s="92"/>
      <c r="I179" s="92"/>
      <c r="J179" s="92"/>
      <c r="K179" s="92"/>
      <c r="L179" s="92"/>
      <c r="M179" s="92"/>
      <c r="N179" s="92"/>
      <c r="O179" s="92"/>
      <c r="P179" s="92"/>
      <c r="Q179" s="92"/>
      <c r="R179" s="92"/>
      <c r="S179" s="92"/>
    </row>
    <row r="180" spans="1:19">
      <c r="A180" s="157"/>
      <c r="B180" s="92"/>
      <c r="C180" s="92"/>
      <c r="D180" s="92"/>
      <c r="E180" s="92"/>
      <c r="F180" s="92"/>
      <c r="G180" s="92"/>
      <c r="H180" s="92"/>
      <c r="I180" s="92"/>
      <c r="J180" s="92"/>
      <c r="K180" s="92"/>
      <c r="L180" s="92"/>
      <c r="M180" s="92"/>
      <c r="N180" s="92"/>
      <c r="O180" s="92"/>
      <c r="P180" s="92"/>
      <c r="Q180" s="92"/>
      <c r="R180" s="92"/>
      <c r="S180" s="92"/>
    </row>
    <row r="181" spans="1:19">
      <c r="A181" s="157"/>
      <c r="B181" s="92"/>
      <c r="C181" s="92"/>
      <c r="D181" s="92"/>
      <c r="E181" s="92"/>
      <c r="F181" s="92"/>
      <c r="G181" s="92"/>
      <c r="H181" s="92"/>
      <c r="I181" s="92"/>
      <c r="J181" s="92"/>
      <c r="K181" s="92"/>
      <c r="L181" s="92"/>
      <c r="M181" s="92"/>
      <c r="N181" s="92"/>
      <c r="O181" s="92"/>
      <c r="P181" s="92"/>
      <c r="Q181" s="92"/>
      <c r="R181" s="92"/>
      <c r="S181" s="92"/>
    </row>
    <row r="182" spans="1:19">
      <c r="A182" s="157"/>
      <c r="B182" s="92"/>
      <c r="C182" s="92"/>
      <c r="D182" s="92"/>
      <c r="E182" s="92"/>
      <c r="F182" s="92"/>
      <c r="G182" s="92"/>
      <c r="H182" s="92"/>
      <c r="I182" s="92"/>
      <c r="J182" s="92"/>
      <c r="K182" s="92"/>
      <c r="L182" s="92"/>
      <c r="M182" s="92"/>
      <c r="N182" s="92"/>
      <c r="O182" s="92"/>
      <c r="P182" s="92"/>
      <c r="Q182" s="92"/>
      <c r="R182" s="92"/>
      <c r="S182" s="92"/>
    </row>
    <row r="183" spans="1:19">
      <c r="A183" s="157"/>
      <c r="B183" s="92"/>
      <c r="C183" s="92"/>
      <c r="D183" s="92"/>
      <c r="E183" s="92"/>
      <c r="F183" s="92"/>
      <c r="G183" s="92"/>
      <c r="H183" s="92"/>
      <c r="I183" s="92"/>
      <c r="J183" s="92"/>
      <c r="K183" s="92"/>
      <c r="L183" s="92"/>
      <c r="M183" s="92"/>
      <c r="N183" s="92"/>
      <c r="O183" s="92"/>
      <c r="P183" s="92"/>
      <c r="Q183" s="92"/>
      <c r="R183" s="92"/>
      <c r="S183" s="92"/>
    </row>
    <row r="184" spans="1:19">
      <c r="A184" s="157"/>
      <c r="B184" s="92"/>
      <c r="C184" s="92"/>
      <c r="D184" s="92"/>
      <c r="E184" s="92"/>
      <c r="F184" s="92"/>
      <c r="G184" s="92"/>
      <c r="H184" s="92"/>
      <c r="I184" s="92"/>
      <c r="J184" s="92"/>
      <c r="K184" s="92"/>
      <c r="L184" s="92"/>
      <c r="M184" s="92"/>
      <c r="N184" s="92"/>
      <c r="O184" s="92"/>
      <c r="P184" s="92"/>
      <c r="Q184" s="92"/>
      <c r="R184" s="92"/>
      <c r="S184" s="92"/>
    </row>
    <row r="185" spans="1:19">
      <c r="A185" s="157"/>
      <c r="B185" s="92"/>
      <c r="C185" s="92"/>
      <c r="D185" s="92"/>
      <c r="E185" s="92"/>
      <c r="F185" s="92"/>
      <c r="G185" s="92"/>
      <c r="H185" s="92"/>
      <c r="I185" s="92"/>
      <c r="J185" s="92"/>
      <c r="K185" s="92"/>
      <c r="L185" s="92"/>
      <c r="M185" s="92"/>
      <c r="N185" s="92"/>
      <c r="O185" s="92"/>
      <c r="P185" s="92"/>
      <c r="Q185" s="92"/>
      <c r="R185" s="92"/>
      <c r="S185" s="92"/>
    </row>
    <row r="186" spans="1:19">
      <c r="A186" s="157"/>
      <c r="B186" s="92"/>
      <c r="C186" s="92"/>
      <c r="D186" s="92"/>
      <c r="E186" s="92"/>
      <c r="F186" s="92"/>
      <c r="G186" s="92"/>
      <c r="H186" s="92"/>
      <c r="I186" s="92"/>
      <c r="J186" s="92"/>
      <c r="K186" s="92"/>
      <c r="L186" s="92"/>
      <c r="M186" s="92"/>
      <c r="N186" s="92"/>
      <c r="O186" s="92"/>
      <c r="P186" s="92"/>
      <c r="Q186" s="92"/>
      <c r="R186" s="92"/>
      <c r="S186" s="92"/>
    </row>
    <row r="187" spans="1:19">
      <c r="A187" s="157"/>
      <c r="B187" s="92"/>
      <c r="C187" s="92"/>
      <c r="D187" s="92"/>
      <c r="E187" s="92"/>
      <c r="F187" s="92"/>
      <c r="G187" s="92"/>
      <c r="H187" s="92"/>
      <c r="I187" s="92"/>
      <c r="J187" s="92"/>
      <c r="K187" s="92"/>
      <c r="L187" s="92"/>
      <c r="M187" s="92"/>
      <c r="N187" s="92"/>
      <c r="O187" s="92"/>
      <c r="P187" s="92"/>
      <c r="Q187" s="92"/>
      <c r="R187" s="92"/>
      <c r="S187" s="92"/>
    </row>
    <row r="188" spans="1:19">
      <c r="A188" s="157"/>
      <c r="B188" s="92"/>
      <c r="C188" s="92"/>
      <c r="D188" s="92"/>
      <c r="E188" s="92"/>
      <c r="F188" s="92"/>
      <c r="G188" s="92"/>
      <c r="H188" s="92"/>
      <c r="I188" s="92"/>
      <c r="J188" s="92"/>
      <c r="K188" s="92"/>
      <c r="L188" s="92"/>
      <c r="M188" s="92"/>
      <c r="N188" s="92"/>
      <c r="O188" s="92"/>
      <c r="P188" s="92"/>
      <c r="Q188" s="92"/>
      <c r="R188" s="92"/>
      <c r="S188" s="92"/>
    </row>
    <row r="189" spans="1:19">
      <c r="A189" s="157"/>
      <c r="B189" s="92"/>
      <c r="C189" s="92"/>
      <c r="D189" s="92"/>
      <c r="E189" s="92"/>
      <c r="F189" s="92"/>
      <c r="G189" s="92"/>
      <c r="H189" s="92"/>
      <c r="I189" s="92"/>
      <c r="J189" s="92"/>
      <c r="K189" s="92"/>
      <c r="L189" s="92"/>
      <c r="M189" s="92"/>
      <c r="N189" s="92"/>
      <c r="O189" s="92"/>
      <c r="P189" s="92"/>
      <c r="Q189" s="92"/>
      <c r="R189" s="92"/>
      <c r="S189" s="92"/>
    </row>
    <row r="190" spans="1:19">
      <c r="A190" s="157"/>
      <c r="B190" s="92"/>
      <c r="C190" s="92"/>
      <c r="D190" s="92"/>
      <c r="E190" s="92"/>
      <c r="F190" s="92"/>
      <c r="G190" s="92"/>
      <c r="H190" s="92"/>
      <c r="I190" s="92"/>
      <c r="J190" s="92"/>
      <c r="K190" s="92"/>
      <c r="L190" s="92"/>
      <c r="M190" s="92"/>
      <c r="N190" s="92"/>
      <c r="O190" s="92"/>
      <c r="P190" s="92"/>
      <c r="Q190" s="92"/>
      <c r="R190" s="92"/>
      <c r="S190" s="92"/>
    </row>
    <row r="191" spans="1:19">
      <c r="A191" s="157"/>
      <c r="B191" s="92"/>
      <c r="C191" s="92"/>
      <c r="D191" s="92"/>
      <c r="E191" s="92"/>
      <c r="F191" s="92"/>
      <c r="G191" s="92"/>
      <c r="H191" s="92"/>
      <c r="I191" s="92"/>
      <c r="J191" s="92"/>
      <c r="K191" s="92"/>
      <c r="L191" s="92"/>
      <c r="M191" s="92"/>
      <c r="N191" s="92"/>
      <c r="O191" s="92"/>
      <c r="P191" s="92"/>
      <c r="Q191" s="92"/>
      <c r="R191" s="92"/>
      <c r="S191" s="92"/>
    </row>
    <row r="192" spans="1:19">
      <c r="A192" s="157"/>
      <c r="B192" s="92"/>
      <c r="C192" s="92"/>
      <c r="D192" s="92"/>
      <c r="E192" s="92"/>
      <c r="F192" s="92"/>
      <c r="G192" s="92"/>
      <c r="H192" s="92"/>
      <c r="I192" s="92"/>
      <c r="J192" s="92"/>
      <c r="K192" s="92"/>
      <c r="L192" s="92"/>
      <c r="M192" s="92"/>
      <c r="N192" s="92"/>
      <c r="O192" s="92"/>
      <c r="P192" s="92"/>
      <c r="Q192" s="92"/>
      <c r="R192" s="92"/>
      <c r="S192" s="92"/>
    </row>
    <row r="193" spans="1:19">
      <c r="A193" s="157"/>
      <c r="B193" s="92"/>
      <c r="C193" s="92"/>
      <c r="D193" s="92"/>
      <c r="E193" s="92"/>
      <c r="F193" s="92"/>
      <c r="G193" s="92"/>
      <c r="H193" s="92"/>
      <c r="I193" s="92"/>
      <c r="J193" s="92"/>
      <c r="K193" s="92"/>
      <c r="L193" s="92"/>
      <c r="M193" s="92"/>
      <c r="N193" s="92"/>
      <c r="O193" s="92"/>
      <c r="P193" s="92"/>
      <c r="Q193" s="92"/>
      <c r="R193" s="92"/>
      <c r="S193" s="92"/>
    </row>
    <row r="194" spans="1:19">
      <c r="A194" s="157"/>
      <c r="B194" s="92"/>
      <c r="C194" s="92"/>
      <c r="D194" s="92"/>
      <c r="E194" s="92"/>
      <c r="F194" s="92"/>
      <c r="G194" s="92"/>
      <c r="H194" s="92"/>
      <c r="I194" s="92"/>
      <c r="J194" s="92"/>
      <c r="K194" s="92"/>
      <c r="L194" s="92"/>
      <c r="M194" s="92"/>
      <c r="N194" s="92"/>
      <c r="O194" s="92"/>
      <c r="P194" s="92"/>
      <c r="Q194" s="92"/>
      <c r="R194" s="92"/>
      <c r="S194" s="92"/>
    </row>
    <row r="195" spans="1:19">
      <c r="A195" s="157"/>
      <c r="B195" s="92"/>
      <c r="C195" s="92"/>
      <c r="D195" s="92"/>
      <c r="E195" s="92"/>
      <c r="F195" s="92"/>
      <c r="G195" s="92"/>
      <c r="H195" s="92"/>
      <c r="I195" s="92"/>
      <c r="J195" s="92"/>
      <c r="K195" s="92"/>
      <c r="L195" s="92"/>
      <c r="M195" s="92"/>
      <c r="N195" s="92"/>
      <c r="O195" s="92"/>
      <c r="P195" s="92"/>
      <c r="Q195" s="92"/>
      <c r="R195" s="92"/>
      <c r="S195" s="92"/>
    </row>
    <row r="196" spans="1:19">
      <c r="A196" s="157"/>
      <c r="B196" s="92"/>
      <c r="C196" s="92"/>
      <c r="D196" s="92"/>
      <c r="E196" s="92"/>
      <c r="F196" s="92"/>
      <c r="G196" s="92"/>
      <c r="H196" s="92"/>
      <c r="I196" s="92"/>
      <c r="J196" s="92"/>
      <c r="K196" s="92"/>
      <c r="L196" s="92"/>
      <c r="M196" s="92"/>
      <c r="N196" s="92"/>
      <c r="O196" s="92"/>
      <c r="P196" s="92"/>
      <c r="Q196" s="92"/>
      <c r="R196" s="92"/>
      <c r="S196" s="92"/>
    </row>
    <row r="197" spans="1:19">
      <c r="A197" s="157"/>
      <c r="B197" s="92"/>
      <c r="C197" s="92"/>
      <c r="D197" s="92"/>
      <c r="E197" s="92"/>
      <c r="F197" s="92"/>
      <c r="G197" s="92"/>
      <c r="H197" s="92"/>
      <c r="I197" s="92"/>
      <c r="J197" s="92"/>
      <c r="K197" s="92"/>
      <c r="L197" s="92"/>
      <c r="M197" s="92"/>
      <c r="N197" s="92"/>
      <c r="O197" s="92"/>
      <c r="P197" s="92"/>
      <c r="Q197" s="92"/>
      <c r="R197" s="92"/>
      <c r="S197" s="92"/>
    </row>
    <row r="198" spans="1:19">
      <c r="A198" s="157"/>
      <c r="B198" s="92"/>
      <c r="C198" s="92"/>
      <c r="D198" s="92"/>
      <c r="E198" s="92"/>
      <c r="F198" s="92"/>
      <c r="G198" s="92"/>
      <c r="H198" s="92"/>
      <c r="I198" s="92"/>
      <c r="J198" s="92"/>
      <c r="K198" s="92"/>
      <c r="L198" s="92"/>
      <c r="M198" s="92"/>
      <c r="N198" s="92"/>
      <c r="O198" s="92"/>
      <c r="P198" s="92"/>
      <c r="Q198" s="92"/>
      <c r="R198" s="92"/>
      <c r="S198" s="92"/>
    </row>
    <row r="199" spans="1:19">
      <c r="A199" s="157"/>
      <c r="B199" s="92"/>
      <c r="C199" s="92"/>
      <c r="D199" s="92"/>
      <c r="E199" s="92"/>
      <c r="F199" s="92"/>
      <c r="G199" s="92"/>
      <c r="H199" s="92"/>
      <c r="I199" s="92"/>
      <c r="J199" s="92"/>
      <c r="K199" s="92"/>
      <c r="L199" s="92"/>
      <c r="M199" s="92"/>
      <c r="N199" s="92"/>
      <c r="O199" s="92"/>
      <c r="P199" s="92"/>
      <c r="Q199" s="92"/>
      <c r="R199" s="92"/>
      <c r="S199" s="92"/>
    </row>
    <row r="200" spans="1:19">
      <c r="A200" s="157"/>
      <c r="B200" s="92"/>
      <c r="C200" s="92"/>
      <c r="D200" s="92"/>
      <c r="E200" s="92"/>
      <c r="F200" s="92"/>
      <c r="G200" s="92"/>
      <c r="H200" s="92"/>
      <c r="I200" s="92"/>
      <c r="J200" s="92"/>
      <c r="K200" s="92"/>
      <c r="L200" s="92"/>
      <c r="M200" s="92"/>
      <c r="N200" s="92"/>
      <c r="O200" s="92"/>
      <c r="P200" s="92"/>
      <c r="Q200" s="92"/>
      <c r="R200" s="92"/>
      <c r="S200" s="92"/>
    </row>
    <row r="201" spans="1:19">
      <c r="A201" s="157"/>
      <c r="B201" s="92"/>
      <c r="C201" s="92"/>
      <c r="D201" s="92"/>
      <c r="E201" s="92"/>
      <c r="F201" s="92"/>
      <c r="G201" s="92"/>
      <c r="H201" s="92"/>
      <c r="I201" s="92"/>
      <c r="J201" s="92"/>
      <c r="K201" s="92"/>
      <c r="L201" s="92"/>
      <c r="M201" s="92"/>
      <c r="N201" s="92"/>
      <c r="O201" s="92"/>
      <c r="P201" s="92"/>
      <c r="Q201" s="92"/>
      <c r="R201" s="92"/>
      <c r="S201" s="92"/>
    </row>
    <row r="202" spans="1:19">
      <c r="A202" s="157"/>
      <c r="B202" s="92"/>
      <c r="C202" s="92"/>
      <c r="D202" s="92"/>
      <c r="E202" s="92"/>
      <c r="F202" s="92"/>
      <c r="G202" s="92"/>
      <c r="H202" s="92"/>
      <c r="I202" s="92"/>
      <c r="J202" s="92"/>
      <c r="K202" s="92"/>
      <c r="L202" s="92"/>
      <c r="M202" s="92"/>
      <c r="N202" s="92"/>
      <c r="O202" s="92"/>
      <c r="P202" s="92"/>
      <c r="Q202" s="92"/>
      <c r="R202" s="92"/>
      <c r="S202" s="92"/>
    </row>
    <row r="203" spans="1:19">
      <c r="A203" s="157"/>
      <c r="B203" s="92"/>
      <c r="C203" s="92"/>
      <c r="D203" s="92"/>
      <c r="E203" s="92"/>
      <c r="F203" s="92"/>
      <c r="G203" s="92"/>
      <c r="H203" s="92"/>
      <c r="I203" s="92"/>
      <c r="J203" s="92"/>
      <c r="K203" s="92"/>
      <c r="L203" s="92"/>
      <c r="M203" s="92"/>
      <c r="N203" s="92"/>
      <c r="O203" s="92"/>
      <c r="P203" s="92"/>
      <c r="Q203" s="92"/>
      <c r="R203" s="92"/>
      <c r="S203" s="92"/>
    </row>
    <row r="204" spans="1:19">
      <c r="A204" s="157"/>
      <c r="B204" s="92"/>
      <c r="C204" s="92"/>
      <c r="D204" s="92"/>
      <c r="E204" s="92"/>
      <c r="F204" s="92"/>
      <c r="G204" s="92"/>
      <c r="H204" s="92"/>
      <c r="I204" s="92"/>
      <c r="J204" s="92"/>
      <c r="K204" s="92"/>
      <c r="L204" s="92"/>
      <c r="M204" s="92"/>
      <c r="N204" s="92"/>
      <c r="O204" s="92"/>
      <c r="P204" s="92"/>
      <c r="Q204" s="92"/>
      <c r="R204" s="92"/>
      <c r="S204" s="92"/>
    </row>
    <row r="205" spans="1:19">
      <c r="A205" s="157"/>
      <c r="B205" s="92"/>
      <c r="C205" s="92"/>
      <c r="D205" s="92"/>
      <c r="E205" s="92"/>
      <c r="F205" s="92"/>
      <c r="G205" s="92"/>
      <c r="H205" s="92"/>
      <c r="I205" s="92"/>
      <c r="J205" s="92"/>
      <c r="K205" s="92"/>
      <c r="L205" s="92"/>
      <c r="M205" s="92"/>
      <c r="N205" s="92"/>
      <c r="O205" s="92"/>
      <c r="P205" s="92"/>
      <c r="Q205" s="92"/>
      <c r="R205" s="92"/>
      <c r="S205" s="92"/>
    </row>
    <row r="206" spans="1:19">
      <c r="A206" s="157"/>
      <c r="B206" s="92"/>
      <c r="C206" s="92"/>
      <c r="D206" s="92"/>
      <c r="E206" s="92"/>
      <c r="F206" s="92"/>
      <c r="G206" s="92"/>
      <c r="H206" s="92"/>
      <c r="I206" s="92"/>
      <c r="J206" s="92"/>
      <c r="K206" s="92"/>
      <c r="L206" s="92"/>
      <c r="M206" s="92"/>
      <c r="N206" s="92"/>
      <c r="O206" s="92"/>
      <c r="P206" s="92"/>
      <c r="Q206" s="92"/>
      <c r="R206" s="92"/>
      <c r="S206" s="92"/>
    </row>
    <row r="207" spans="1:19">
      <c r="A207" s="157"/>
      <c r="B207" s="92"/>
      <c r="C207" s="92"/>
      <c r="D207" s="92"/>
      <c r="E207" s="92"/>
      <c r="F207" s="92"/>
      <c r="G207" s="92"/>
      <c r="H207" s="92"/>
      <c r="I207" s="92"/>
      <c r="J207" s="92"/>
      <c r="K207" s="92"/>
      <c r="L207" s="92"/>
      <c r="M207" s="92"/>
      <c r="N207" s="92"/>
      <c r="O207" s="92"/>
      <c r="P207" s="92"/>
      <c r="Q207" s="92"/>
      <c r="R207" s="92"/>
      <c r="S207" s="92"/>
    </row>
    <row r="208" spans="1:19">
      <c r="A208" s="157"/>
      <c r="B208" s="92"/>
      <c r="C208" s="92"/>
      <c r="D208" s="92"/>
      <c r="E208" s="92"/>
      <c r="F208" s="92"/>
      <c r="G208" s="92"/>
      <c r="H208" s="92"/>
      <c r="I208" s="92"/>
      <c r="J208" s="92"/>
      <c r="K208" s="92"/>
      <c r="L208" s="92"/>
      <c r="M208" s="92"/>
      <c r="N208" s="92"/>
      <c r="O208" s="92"/>
      <c r="P208" s="92"/>
      <c r="Q208" s="92"/>
      <c r="R208" s="92"/>
      <c r="S208" s="92"/>
    </row>
    <row r="209" spans="1:19">
      <c r="A209" s="157"/>
      <c r="B209" s="92"/>
      <c r="C209" s="92"/>
      <c r="D209" s="92"/>
      <c r="E209" s="92"/>
      <c r="F209" s="92"/>
      <c r="G209" s="92"/>
      <c r="H209" s="92"/>
      <c r="I209" s="92"/>
      <c r="J209" s="92"/>
      <c r="K209" s="92"/>
      <c r="L209" s="92"/>
      <c r="M209" s="92"/>
      <c r="N209" s="92"/>
      <c r="O209" s="92"/>
      <c r="P209" s="92"/>
      <c r="Q209" s="92"/>
      <c r="R209" s="92"/>
      <c r="S209" s="92"/>
    </row>
    <row r="210" spans="1:19">
      <c r="A210" s="157"/>
      <c r="B210" s="92"/>
      <c r="C210" s="92"/>
      <c r="D210" s="92"/>
      <c r="E210" s="92"/>
      <c r="F210" s="92"/>
      <c r="G210" s="92"/>
      <c r="H210" s="92"/>
      <c r="I210" s="92"/>
      <c r="J210" s="92"/>
      <c r="K210" s="92"/>
      <c r="L210" s="92"/>
      <c r="M210" s="92"/>
      <c r="N210" s="92"/>
      <c r="O210" s="92"/>
      <c r="P210" s="92"/>
      <c r="Q210" s="92"/>
      <c r="R210" s="92"/>
      <c r="S210" s="92"/>
    </row>
    <row r="211" spans="1:19">
      <c r="A211" s="157"/>
      <c r="B211" s="92"/>
      <c r="C211" s="92"/>
      <c r="D211" s="92"/>
      <c r="E211" s="92"/>
      <c r="F211" s="92"/>
      <c r="G211" s="92"/>
      <c r="H211" s="92"/>
      <c r="I211" s="92"/>
      <c r="J211" s="92"/>
      <c r="K211" s="92"/>
      <c r="L211" s="92"/>
      <c r="M211" s="92"/>
      <c r="N211" s="92"/>
      <c r="O211" s="92"/>
      <c r="P211" s="92"/>
      <c r="Q211" s="92"/>
      <c r="R211" s="92"/>
      <c r="S211" s="92"/>
    </row>
    <row r="212" spans="1:19">
      <c r="A212" s="157"/>
      <c r="B212" s="92"/>
      <c r="C212" s="92"/>
      <c r="D212" s="92"/>
      <c r="E212" s="92"/>
      <c r="F212" s="92"/>
      <c r="G212" s="92"/>
      <c r="H212" s="92"/>
      <c r="I212" s="92"/>
      <c r="J212" s="92"/>
      <c r="K212" s="92"/>
      <c r="L212" s="92"/>
      <c r="M212" s="92"/>
      <c r="N212" s="92"/>
      <c r="O212" s="92"/>
      <c r="P212" s="92"/>
      <c r="Q212" s="92"/>
      <c r="R212" s="92"/>
      <c r="S212" s="92"/>
    </row>
    <row r="213" spans="1:19">
      <c r="A213" s="157"/>
      <c r="B213" s="92"/>
      <c r="C213" s="92"/>
      <c r="D213" s="92"/>
      <c r="E213" s="92"/>
      <c r="F213" s="92"/>
      <c r="G213" s="92"/>
      <c r="H213" s="92"/>
      <c r="I213" s="92"/>
      <c r="J213" s="92"/>
      <c r="K213" s="92"/>
      <c r="L213" s="92"/>
      <c r="M213" s="92"/>
      <c r="N213" s="92"/>
      <c r="O213" s="92"/>
      <c r="P213" s="92"/>
      <c r="Q213" s="92"/>
      <c r="R213" s="92"/>
      <c r="S213" s="92"/>
    </row>
    <row r="214" spans="1:19">
      <c r="A214" s="157"/>
      <c r="B214" s="92"/>
      <c r="C214" s="92"/>
      <c r="D214" s="92"/>
      <c r="E214" s="92"/>
      <c r="F214" s="92"/>
      <c r="G214" s="92"/>
      <c r="H214" s="92"/>
      <c r="I214" s="92"/>
      <c r="J214" s="92"/>
      <c r="K214" s="92"/>
      <c r="L214" s="92"/>
      <c r="M214" s="92"/>
      <c r="N214" s="92"/>
      <c r="O214" s="92"/>
      <c r="P214" s="92"/>
      <c r="Q214" s="92"/>
      <c r="R214" s="92"/>
      <c r="S214" s="92"/>
    </row>
    <row r="215" spans="1:19">
      <c r="A215" s="157"/>
      <c r="B215" s="92"/>
      <c r="C215" s="92"/>
      <c r="D215" s="92"/>
      <c r="E215" s="92"/>
      <c r="F215" s="92"/>
      <c r="G215" s="92"/>
      <c r="H215" s="92"/>
      <c r="I215" s="92"/>
      <c r="J215" s="92"/>
      <c r="K215" s="92"/>
      <c r="L215" s="92"/>
      <c r="M215" s="92"/>
      <c r="N215" s="92"/>
      <c r="O215" s="92"/>
      <c r="P215" s="92"/>
      <c r="Q215" s="92"/>
      <c r="R215" s="92"/>
      <c r="S215" s="92"/>
    </row>
    <row r="216" spans="1:19">
      <c r="A216" s="157"/>
      <c r="B216" s="92"/>
      <c r="C216" s="92"/>
      <c r="D216" s="92"/>
      <c r="E216" s="92"/>
      <c r="F216" s="92"/>
      <c r="G216" s="92"/>
      <c r="H216" s="92"/>
      <c r="I216" s="92"/>
      <c r="J216" s="92"/>
      <c r="K216" s="92"/>
      <c r="L216" s="92"/>
      <c r="M216" s="92"/>
      <c r="N216" s="92"/>
      <c r="O216" s="92"/>
      <c r="P216" s="92"/>
      <c r="Q216" s="92"/>
      <c r="R216" s="92"/>
      <c r="S216" s="92"/>
    </row>
    <row r="217" spans="1:19">
      <c r="A217" s="157"/>
      <c r="B217" s="92"/>
      <c r="C217" s="92"/>
      <c r="D217" s="92"/>
      <c r="E217" s="92"/>
      <c r="F217" s="92"/>
      <c r="G217" s="92"/>
      <c r="H217" s="92"/>
      <c r="I217" s="92"/>
      <c r="J217" s="92"/>
      <c r="K217" s="92"/>
      <c r="L217" s="92"/>
      <c r="M217" s="92"/>
      <c r="N217" s="92"/>
      <c r="O217" s="92"/>
      <c r="P217" s="92"/>
      <c r="Q217" s="92"/>
      <c r="R217" s="92"/>
      <c r="S217" s="92"/>
    </row>
    <row r="218" spans="1:19">
      <c r="A218" s="157"/>
      <c r="B218" s="92"/>
      <c r="C218" s="92"/>
      <c r="D218" s="92"/>
      <c r="E218" s="92"/>
      <c r="F218" s="92"/>
      <c r="G218" s="92"/>
      <c r="H218" s="92"/>
      <c r="I218" s="92"/>
      <c r="J218" s="92"/>
      <c r="K218" s="92"/>
      <c r="L218" s="92"/>
      <c r="M218" s="92"/>
      <c r="N218" s="92"/>
      <c r="O218" s="92"/>
      <c r="P218" s="92"/>
      <c r="Q218" s="92"/>
      <c r="R218" s="92"/>
      <c r="S218" s="92"/>
    </row>
    <row r="219" spans="1:19">
      <c r="A219" s="157"/>
      <c r="B219" s="92"/>
      <c r="C219" s="92"/>
      <c r="D219" s="92"/>
      <c r="E219" s="92"/>
      <c r="F219" s="92"/>
      <c r="G219" s="92"/>
      <c r="H219" s="92"/>
      <c r="I219" s="92"/>
      <c r="J219" s="92"/>
      <c r="K219" s="92"/>
      <c r="L219" s="92"/>
      <c r="M219" s="92"/>
      <c r="N219" s="92"/>
      <c r="O219" s="92"/>
      <c r="P219" s="92"/>
      <c r="Q219" s="92"/>
      <c r="R219" s="92"/>
      <c r="S219" s="92"/>
    </row>
    <row r="220" spans="1:19">
      <c r="A220" s="157"/>
      <c r="B220" s="92"/>
      <c r="C220" s="92"/>
      <c r="D220" s="92"/>
      <c r="E220" s="92"/>
      <c r="F220" s="92"/>
      <c r="G220" s="92"/>
      <c r="H220" s="92"/>
      <c r="I220" s="92"/>
      <c r="J220" s="92"/>
      <c r="K220" s="92"/>
      <c r="L220" s="92"/>
      <c r="M220" s="92"/>
      <c r="N220" s="92"/>
      <c r="O220" s="92"/>
      <c r="P220" s="92"/>
      <c r="Q220" s="92"/>
      <c r="R220" s="92"/>
      <c r="S220" s="92"/>
    </row>
    <row r="221" spans="1:19">
      <c r="A221" s="157"/>
      <c r="B221" s="92"/>
      <c r="C221" s="92"/>
      <c r="D221" s="92"/>
      <c r="E221" s="92"/>
      <c r="F221" s="92"/>
      <c r="G221" s="92"/>
      <c r="H221" s="92"/>
      <c r="I221" s="92"/>
      <c r="J221" s="92"/>
      <c r="K221" s="92"/>
      <c r="L221" s="92"/>
      <c r="M221" s="92"/>
      <c r="N221" s="92"/>
      <c r="O221" s="92"/>
      <c r="P221" s="92"/>
      <c r="Q221" s="92"/>
      <c r="R221" s="92"/>
      <c r="S221" s="92"/>
    </row>
    <row r="222" spans="1:19">
      <c r="A222" s="157"/>
      <c r="B222" s="92"/>
      <c r="C222" s="92"/>
      <c r="D222" s="92"/>
      <c r="E222" s="92"/>
      <c r="F222" s="92"/>
      <c r="G222" s="92"/>
      <c r="H222" s="92"/>
      <c r="I222" s="92"/>
      <c r="J222" s="92"/>
      <c r="K222" s="92"/>
      <c r="L222" s="92"/>
      <c r="M222" s="92"/>
      <c r="N222" s="92"/>
      <c r="O222" s="92"/>
      <c r="P222" s="92"/>
      <c r="Q222" s="92"/>
      <c r="R222" s="92"/>
      <c r="S222" s="92"/>
    </row>
    <row r="223" spans="1:19">
      <c r="A223" s="157"/>
      <c r="B223" s="92"/>
      <c r="C223" s="92"/>
      <c r="D223" s="92"/>
      <c r="E223" s="92"/>
      <c r="F223" s="92"/>
      <c r="G223" s="92"/>
      <c r="H223" s="92"/>
      <c r="I223" s="92"/>
      <c r="J223" s="92"/>
      <c r="K223" s="92"/>
      <c r="L223" s="92"/>
      <c r="M223" s="92"/>
      <c r="N223" s="92"/>
      <c r="O223" s="92"/>
      <c r="P223" s="92"/>
      <c r="Q223" s="92"/>
      <c r="R223" s="92"/>
      <c r="S223" s="92"/>
    </row>
    <row r="224" spans="1:19">
      <c r="A224" s="157"/>
      <c r="B224" s="92"/>
      <c r="C224" s="92"/>
      <c r="D224" s="92"/>
      <c r="E224" s="92"/>
      <c r="F224" s="92"/>
      <c r="G224" s="92"/>
      <c r="H224" s="92"/>
      <c r="I224" s="92"/>
      <c r="J224" s="92"/>
      <c r="K224" s="92"/>
      <c r="L224" s="92"/>
      <c r="M224" s="92"/>
      <c r="N224" s="92"/>
      <c r="O224" s="92"/>
      <c r="P224" s="92"/>
      <c r="Q224" s="92"/>
      <c r="R224" s="92"/>
      <c r="S224" s="92"/>
    </row>
    <row r="225" spans="1:19">
      <c r="A225" s="157"/>
      <c r="B225" s="92"/>
      <c r="C225" s="92"/>
      <c r="D225" s="92"/>
      <c r="E225" s="92"/>
      <c r="F225" s="92"/>
      <c r="G225" s="92"/>
      <c r="H225" s="92"/>
      <c r="I225" s="92"/>
      <c r="J225" s="92"/>
      <c r="K225" s="92"/>
      <c r="L225" s="92"/>
      <c r="M225" s="92"/>
      <c r="N225" s="92"/>
      <c r="O225" s="92"/>
      <c r="P225" s="92"/>
      <c r="Q225" s="92"/>
      <c r="R225" s="92"/>
      <c r="S225" s="92"/>
    </row>
    <row r="226" spans="1:19">
      <c r="A226" s="157"/>
      <c r="B226" s="92"/>
      <c r="C226" s="92"/>
      <c r="D226" s="92"/>
      <c r="E226" s="92"/>
      <c r="F226" s="92"/>
      <c r="G226" s="92"/>
      <c r="H226" s="92"/>
      <c r="I226" s="92"/>
      <c r="J226" s="92"/>
      <c r="K226" s="92"/>
      <c r="L226" s="92"/>
      <c r="M226" s="92"/>
      <c r="N226" s="92"/>
      <c r="O226" s="92"/>
      <c r="P226" s="92"/>
      <c r="Q226" s="92"/>
      <c r="R226" s="92"/>
      <c r="S226" s="92"/>
    </row>
    <row r="227" spans="1:19">
      <c r="A227" s="157"/>
      <c r="B227" s="92"/>
      <c r="C227" s="92"/>
      <c r="D227" s="92"/>
      <c r="E227" s="92"/>
      <c r="F227" s="92"/>
      <c r="G227" s="92"/>
      <c r="H227" s="92"/>
      <c r="I227" s="92"/>
      <c r="J227" s="92"/>
      <c r="K227" s="92"/>
      <c r="L227" s="92"/>
      <c r="M227" s="92"/>
      <c r="N227" s="92"/>
      <c r="O227" s="92"/>
      <c r="P227" s="92"/>
      <c r="Q227" s="92"/>
      <c r="R227" s="92"/>
      <c r="S227" s="92"/>
    </row>
    <row r="228" spans="1:19">
      <c r="A228" s="157"/>
      <c r="B228" s="92"/>
      <c r="C228" s="92"/>
      <c r="D228" s="92"/>
      <c r="E228" s="92"/>
      <c r="F228" s="92"/>
      <c r="G228" s="92"/>
      <c r="H228" s="92"/>
      <c r="I228" s="92"/>
      <c r="J228" s="92"/>
      <c r="K228" s="92"/>
      <c r="L228" s="92"/>
      <c r="M228" s="92"/>
      <c r="N228" s="92"/>
      <c r="O228" s="92"/>
      <c r="P228" s="92"/>
      <c r="Q228" s="92"/>
      <c r="R228" s="92"/>
      <c r="S228" s="92"/>
    </row>
    <row r="229" spans="1:19">
      <c r="A229" s="157"/>
      <c r="B229" s="92"/>
      <c r="C229" s="92"/>
      <c r="D229" s="92"/>
      <c r="E229" s="92"/>
      <c r="F229" s="92"/>
      <c r="G229" s="92"/>
      <c r="H229" s="92"/>
      <c r="I229" s="92"/>
      <c r="J229" s="92"/>
      <c r="K229" s="92"/>
      <c r="L229" s="92"/>
      <c r="M229" s="92"/>
      <c r="N229" s="92"/>
      <c r="O229" s="92"/>
      <c r="P229" s="92"/>
      <c r="Q229" s="92"/>
      <c r="R229" s="92"/>
      <c r="S229" s="92"/>
    </row>
    <row r="230" spans="1:19">
      <c r="A230" s="157"/>
      <c r="B230" s="92"/>
      <c r="C230" s="92"/>
      <c r="D230" s="92"/>
      <c r="E230" s="92"/>
      <c r="F230" s="92"/>
      <c r="G230" s="92"/>
      <c r="H230" s="92"/>
      <c r="I230" s="92"/>
      <c r="J230" s="92"/>
      <c r="K230" s="92"/>
      <c r="L230" s="92"/>
      <c r="M230" s="92"/>
      <c r="N230" s="92"/>
      <c r="O230" s="92"/>
      <c r="P230" s="92"/>
      <c r="Q230" s="92"/>
      <c r="R230" s="92"/>
      <c r="S230" s="92"/>
    </row>
    <row r="231" spans="1:19">
      <c r="A231" s="157"/>
      <c r="B231" s="92"/>
      <c r="C231" s="92"/>
      <c r="D231" s="92"/>
      <c r="E231" s="92"/>
      <c r="F231" s="92"/>
      <c r="G231" s="92"/>
      <c r="H231" s="92"/>
      <c r="I231" s="92"/>
      <c r="J231" s="92"/>
      <c r="K231" s="92"/>
      <c r="L231" s="92"/>
      <c r="M231" s="92"/>
      <c r="N231" s="92"/>
      <c r="O231" s="92"/>
      <c r="P231" s="92"/>
      <c r="Q231" s="92"/>
      <c r="R231" s="92"/>
      <c r="S231" s="92"/>
    </row>
    <row r="232" spans="1:19">
      <c r="A232" s="157"/>
      <c r="B232" s="92"/>
      <c r="C232" s="92"/>
      <c r="D232" s="92"/>
      <c r="E232" s="92"/>
      <c r="F232" s="92"/>
      <c r="G232" s="92"/>
      <c r="H232" s="92"/>
      <c r="I232" s="92"/>
      <c r="J232" s="92"/>
      <c r="K232" s="92"/>
      <c r="L232" s="92"/>
      <c r="M232" s="92"/>
      <c r="N232" s="92"/>
      <c r="O232" s="92"/>
      <c r="P232" s="92"/>
      <c r="Q232" s="92"/>
      <c r="R232" s="92"/>
      <c r="S232" s="92"/>
    </row>
    <row r="233" spans="1:19">
      <c r="A233" s="157"/>
      <c r="B233" s="92"/>
      <c r="C233" s="92"/>
      <c r="D233" s="92"/>
      <c r="E233" s="92"/>
      <c r="F233" s="92"/>
      <c r="G233" s="92"/>
      <c r="H233" s="92"/>
      <c r="I233" s="92"/>
      <c r="J233" s="92"/>
      <c r="K233" s="92"/>
      <c r="L233" s="92"/>
      <c r="M233" s="92"/>
      <c r="N233" s="92"/>
      <c r="O233" s="92"/>
      <c r="P233" s="92"/>
      <c r="Q233" s="92"/>
      <c r="R233" s="92"/>
      <c r="S233" s="92"/>
    </row>
    <row r="234" spans="1:19">
      <c r="A234" s="157"/>
      <c r="B234" s="92"/>
      <c r="C234" s="92"/>
      <c r="D234" s="92"/>
      <c r="E234" s="92"/>
      <c r="F234" s="92"/>
      <c r="G234" s="92"/>
      <c r="H234" s="92"/>
      <c r="I234" s="92"/>
      <c r="J234" s="92"/>
      <c r="K234" s="92"/>
      <c r="L234" s="92"/>
      <c r="M234" s="92"/>
      <c r="N234" s="92"/>
      <c r="O234" s="92"/>
      <c r="P234" s="92"/>
      <c r="Q234" s="92"/>
      <c r="R234" s="92"/>
      <c r="S234" s="92"/>
    </row>
    <row r="235" spans="1:19">
      <c r="A235" s="157"/>
      <c r="B235" s="92"/>
      <c r="C235" s="92"/>
      <c r="D235" s="92"/>
      <c r="E235" s="92"/>
      <c r="F235" s="92"/>
      <c r="G235" s="92"/>
      <c r="H235" s="92"/>
      <c r="I235" s="92"/>
      <c r="J235" s="92"/>
      <c r="K235" s="92"/>
      <c r="L235" s="92"/>
      <c r="M235" s="92"/>
      <c r="N235" s="92"/>
      <c r="O235" s="92"/>
      <c r="P235" s="92"/>
      <c r="Q235" s="92"/>
      <c r="R235" s="92"/>
      <c r="S235" s="92"/>
    </row>
    <row r="236" spans="1:19">
      <c r="A236" s="157"/>
      <c r="B236" s="92"/>
      <c r="C236" s="92"/>
      <c r="D236" s="92"/>
      <c r="E236" s="92"/>
      <c r="F236" s="92"/>
      <c r="G236" s="92"/>
      <c r="H236" s="92"/>
      <c r="I236" s="92"/>
      <c r="J236" s="92"/>
      <c r="K236" s="92"/>
      <c r="L236" s="92"/>
      <c r="M236" s="92"/>
      <c r="N236" s="92"/>
      <c r="O236" s="92"/>
      <c r="P236" s="92"/>
      <c r="Q236" s="92"/>
      <c r="R236" s="92"/>
      <c r="S236" s="92"/>
    </row>
    <row r="237" spans="1:19">
      <c r="A237" s="157"/>
      <c r="B237" s="92"/>
      <c r="C237" s="92"/>
      <c r="D237" s="92"/>
      <c r="E237" s="92"/>
      <c r="F237" s="92"/>
      <c r="G237" s="92"/>
      <c r="H237" s="92"/>
      <c r="I237" s="92"/>
      <c r="J237" s="92"/>
      <c r="K237" s="92"/>
      <c r="L237" s="92"/>
      <c r="M237" s="92"/>
      <c r="N237" s="92"/>
      <c r="O237" s="92"/>
      <c r="P237" s="92"/>
      <c r="Q237" s="92"/>
      <c r="R237" s="92"/>
      <c r="S237" s="92"/>
    </row>
    <row r="238" spans="1:19">
      <c r="A238" s="157"/>
      <c r="B238" s="92"/>
      <c r="C238" s="92"/>
      <c r="D238" s="92"/>
      <c r="E238" s="92"/>
      <c r="F238" s="92"/>
      <c r="G238" s="92"/>
      <c r="H238" s="92"/>
      <c r="I238" s="92"/>
      <c r="J238" s="92"/>
      <c r="K238" s="92"/>
      <c r="L238" s="92"/>
      <c r="M238" s="92"/>
      <c r="N238" s="92"/>
      <c r="O238" s="92"/>
      <c r="P238" s="92"/>
      <c r="Q238" s="92"/>
      <c r="R238" s="92"/>
      <c r="S238" s="92"/>
    </row>
    <row r="239" spans="1:19">
      <c r="A239" s="157"/>
      <c r="B239" s="92"/>
      <c r="C239" s="92"/>
      <c r="D239" s="92"/>
      <c r="E239" s="92"/>
      <c r="F239" s="92"/>
      <c r="G239" s="92"/>
      <c r="H239" s="92"/>
      <c r="I239" s="92"/>
      <c r="J239" s="92"/>
      <c r="K239" s="92"/>
      <c r="L239" s="92"/>
      <c r="M239" s="92"/>
      <c r="N239" s="92"/>
      <c r="O239" s="92"/>
      <c r="P239" s="92"/>
      <c r="Q239" s="92"/>
      <c r="R239" s="92"/>
      <c r="S239" s="92"/>
    </row>
    <row r="240" spans="1:19">
      <c r="A240" s="157"/>
      <c r="B240" s="92"/>
      <c r="C240" s="92"/>
      <c r="D240" s="92"/>
      <c r="E240" s="92"/>
      <c r="F240" s="92"/>
      <c r="G240" s="92"/>
      <c r="H240" s="92"/>
      <c r="I240" s="92"/>
      <c r="J240" s="92"/>
      <c r="K240" s="92"/>
      <c r="L240" s="92"/>
      <c r="M240" s="92"/>
      <c r="N240" s="92"/>
      <c r="O240" s="92"/>
      <c r="P240" s="92"/>
      <c r="Q240" s="92"/>
      <c r="R240" s="92"/>
      <c r="S240" s="92"/>
    </row>
    <row r="241" spans="1:19">
      <c r="A241" s="157"/>
      <c r="B241" s="92"/>
      <c r="C241" s="92"/>
      <c r="D241" s="92"/>
      <c r="E241" s="92"/>
      <c r="F241" s="92"/>
      <c r="G241" s="92"/>
      <c r="H241" s="92"/>
      <c r="I241" s="92"/>
      <c r="J241" s="92"/>
      <c r="K241" s="92"/>
      <c r="L241" s="92"/>
      <c r="M241" s="92"/>
      <c r="N241" s="92"/>
      <c r="O241" s="92"/>
      <c r="P241" s="92"/>
      <c r="Q241" s="92"/>
      <c r="R241" s="92"/>
      <c r="S241" s="92"/>
    </row>
    <row r="242" spans="1:19">
      <c r="A242" s="157"/>
      <c r="B242" s="92"/>
      <c r="C242" s="92"/>
      <c r="D242" s="92"/>
      <c r="E242" s="92"/>
      <c r="F242" s="92"/>
      <c r="G242" s="92"/>
      <c r="H242" s="92"/>
      <c r="I242" s="92"/>
      <c r="J242" s="92"/>
      <c r="K242" s="92"/>
      <c r="L242" s="92"/>
      <c r="M242" s="92"/>
      <c r="N242" s="92"/>
      <c r="O242" s="92"/>
      <c r="P242" s="92"/>
      <c r="Q242" s="92"/>
      <c r="R242" s="92"/>
      <c r="S242" s="92"/>
    </row>
    <row r="243" spans="1:19">
      <c r="A243" s="157"/>
      <c r="B243" s="92"/>
      <c r="C243" s="92"/>
      <c r="D243" s="92"/>
      <c r="E243" s="92"/>
      <c r="F243" s="92"/>
      <c r="G243" s="92"/>
      <c r="H243" s="92"/>
      <c r="I243" s="92"/>
      <c r="J243" s="92"/>
      <c r="K243" s="92"/>
      <c r="L243" s="92"/>
      <c r="M243" s="92"/>
      <c r="N243" s="92"/>
      <c r="O243" s="92"/>
      <c r="P243" s="92"/>
      <c r="Q243" s="92"/>
      <c r="R243" s="92"/>
      <c r="S243" s="92"/>
    </row>
    <row r="244" spans="1:19">
      <c r="A244" s="157"/>
      <c r="B244" s="92"/>
      <c r="C244" s="92"/>
      <c r="D244" s="92"/>
      <c r="E244" s="92"/>
      <c r="F244" s="92"/>
      <c r="G244" s="92"/>
      <c r="H244" s="92"/>
      <c r="I244" s="92"/>
      <c r="J244" s="92"/>
      <c r="K244" s="92"/>
      <c r="L244" s="92"/>
      <c r="M244" s="92"/>
      <c r="N244" s="92"/>
      <c r="O244" s="92"/>
      <c r="P244" s="92"/>
      <c r="Q244" s="92"/>
      <c r="R244" s="92"/>
      <c r="S244" s="92"/>
    </row>
    <row r="245" spans="1:19">
      <c r="A245" s="157"/>
      <c r="B245" s="92"/>
      <c r="C245" s="92"/>
      <c r="D245" s="92"/>
      <c r="E245" s="92"/>
      <c r="F245" s="92"/>
      <c r="G245" s="92"/>
      <c r="H245" s="92"/>
      <c r="I245" s="92"/>
      <c r="J245" s="92"/>
      <c r="K245" s="92"/>
      <c r="L245" s="92"/>
      <c r="M245" s="92"/>
      <c r="N245" s="92"/>
      <c r="O245" s="92"/>
      <c r="P245" s="92"/>
      <c r="Q245" s="92"/>
      <c r="R245" s="92"/>
      <c r="S245" s="92"/>
    </row>
    <row r="246" spans="1:19">
      <c r="A246" s="157"/>
      <c r="B246" s="92"/>
      <c r="C246" s="92"/>
      <c r="D246" s="92"/>
      <c r="E246" s="92"/>
      <c r="F246" s="92"/>
      <c r="G246" s="92"/>
      <c r="H246" s="92"/>
      <c r="I246" s="92"/>
      <c r="J246" s="92"/>
      <c r="K246" s="92"/>
      <c r="L246" s="92"/>
      <c r="M246" s="92"/>
      <c r="N246" s="92"/>
      <c r="O246" s="92"/>
      <c r="P246" s="92"/>
      <c r="Q246" s="92"/>
      <c r="R246" s="92"/>
      <c r="S246" s="92"/>
    </row>
    <row r="247" spans="1:19">
      <c r="A247" s="157"/>
      <c r="B247" s="92"/>
      <c r="C247" s="92"/>
      <c r="D247" s="92"/>
      <c r="E247" s="92"/>
      <c r="F247" s="92"/>
      <c r="G247" s="92"/>
      <c r="H247" s="92"/>
      <c r="I247" s="92"/>
      <c r="J247" s="92"/>
      <c r="K247" s="92"/>
      <c r="L247" s="92"/>
      <c r="M247" s="92"/>
      <c r="N247" s="92"/>
      <c r="O247" s="92"/>
      <c r="P247" s="92"/>
      <c r="Q247" s="92"/>
      <c r="R247" s="92"/>
      <c r="S247" s="92"/>
    </row>
    <row r="248" spans="1:19">
      <c r="A248" s="157"/>
      <c r="B248" s="92"/>
      <c r="C248" s="92"/>
      <c r="D248" s="92"/>
      <c r="E248" s="92"/>
      <c r="F248" s="92"/>
      <c r="G248" s="92"/>
      <c r="H248" s="92"/>
      <c r="I248" s="92"/>
      <c r="J248" s="92"/>
      <c r="K248" s="92"/>
      <c r="L248" s="92"/>
      <c r="M248" s="92"/>
      <c r="N248" s="92"/>
      <c r="O248" s="92"/>
      <c r="P248" s="92"/>
      <c r="Q248" s="92"/>
      <c r="R248" s="92"/>
      <c r="S248" s="92"/>
    </row>
    <row r="249" spans="1:19">
      <c r="A249" s="157"/>
      <c r="B249" s="92"/>
      <c r="C249" s="92"/>
      <c r="D249" s="92"/>
      <c r="E249" s="92"/>
      <c r="F249" s="92"/>
      <c r="G249" s="92"/>
      <c r="H249" s="92"/>
      <c r="I249" s="92"/>
      <c r="J249" s="92"/>
      <c r="K249" s="92"/>
      <c r="L249" s="92"/>
      <c r="M249" s="92"/>
      <c r="N249" s="92"/>
      <c r="O249" s="92"/>
      <c r="P249" s="92"/>
      <c r="Q249" s="92"/>
      <c r="R249" s="92"/>
      <c r="S249" s="92"/>
    </row>
    <row r="250" spans="1:19">
      <c r="A250" s="157"/>
      <c r="B250" s="92"/>
      <c r="C250" s="92"/>
      <c r="D250" s="92"/>
      <c r="E250" s="92"/>
      <c r="F250" s="92"/>
      <c r="G250" s="92"/>
      <c r="H250" s="92"/>
      <c r="I250" s="92"/>
      <c r="J250" s="92"/>
      <c r="K250" s="92"/>
      <c r="L250" s="92"/>
      <c r="M250" s="92"/>
      <c r="N250" s="92"/>
      <c r="O250" s="92"/>
      <c r="P250" s="92"/>
      <c r="Q250" s="92"/>
      <c r="R250" s="92"/>
      <c r="S250" s="92"/>
    </row>
    <row r="251" spans="1:19">
      <c r="A251" s="157"/>
      <c r="B251" s="92"/>
      <c r="C251" s="92"/>
      <c r="D251" s="92"/>
      <c r="E251" s="92"/>
      <c r="F251" s="92"/>
      <c r="G251" s="92"/>
      <c r="H251" s="92"/>
      <c r="I251" s="92"/>
      <c r="J251" s="92"/>
      <c r="K251" s="92"/>
      <c r="L251" s="92"/>
      <c r="M251" s="92"/>
      <c r="N251" s="92"/>
      <c r="O251" s="92"/>
      <c r="P251" s="92"/>
      <c r="Q251" s="92"/>
      <c r="R251" s="92"/>
      <c r="S251" s="92"/>
    </row>
    <row r="252" spans="1:19">
      <c r="A252" s="157"/>
      <c r="B252" s="92"/>
      <c r="C252" s="92"/>
      <c r="D252" s="92"/>
      <c r="E252" s="92"/>
      <c r="F252" s="92"/>
      <c r="G252" s="92"/>
      <c r="H252" s="92"/>
      <c r="I252" s="92"/>
      <c r="J252" s="92"/>
      <c r="K252" s="92"/>
      <c r="L252" s="92"/>
      <c r="M252" s="92"/>
      <c r="N252" s="92"/>
      <c r="O252" s="92"/>
      <c r="P252" s="92"/>
      <c r="Q252" s="92"/>
      <c r="R252" s="92"/>
      <c r="S252" s="92"/>
    </row>
    <row r="253" spans="1:19">
      <c r="A253" s="157"/>
      <c r="B253" s="92"/>
      <c r="C253" s="92"/>
      <c r="D253" s="92"/>
      <c r="E253" s="92"/>
      <c r="F253" s="92"/>
      <c r="G253" s="92"/>
      <c r="H253" s="92"/>
      <c r="I253" s="92"/>
      <c r="J253" s="92"/>
      <c r="K253" s="92"/>
      <c r="L253" s="92"/>
      <c r="M253" s="92"/>
      <c r="N253" s="92"/>
      <c r="O253" s="92"/>
      <c r="P253" s="92"/>
      <c r="Q253" s="92"/>
      <c r="R253" s="92"/>
      <c r="S253" s="92"/>
    </row>
    <row r="254" spans="1:19">
      <c r="A254" s="157"/>
      <c r="B254" s="92"/>
      <c r="C254" s="92"/>
      <c r="D254" s="92"/>
      <c r="E254" s="92"/>
      <c r="F254" s="92"/>
      <c r="G254" s="92"/>
      <c r="H254" s="92"/>
      <c r="I254" s="92"/>
      <c r="J254" s="92"/>
      <c r="K254" s="92"/>
      <c r="L254" s="92"/>
      <c r="M254" s="92"/>
      <c r="N254" s="92"/>
      <c r="O254" s="92"/>
      <c r="P254" s="92"/>
      <c r="Q254" s="92"/>
      <c r="R254" s="92"/>
      <c r="S254" s="92"/>
    </row>
    <row r="255" spans="1:19">
      <c r="A255" s="157"/>
      <c r="B255" s="92"/>
      <c r="C255" s="92"/>
      <c r="D255" s="92"/>
      <c r="E255" s="92"/>
      <c r="F255" s="92"/>
      <c r="G255" s="92"/>
      <c r="H255" s="92"/>
      <c r="I255" s="92"/>
      <c r="J255" s="92"/>
      <c r="K255" s="92"/>
      <c r="L255" s="92"/>
      <c r="M255" s="92"/>
      <c r="N255" s="92"/>
      <c r="O255" s="92"/>
      <c r="P255" s="92"/>
      <c r="Q255" s="92"/>
      <c r="R255" s="92"/>
      <c r="S255" s="92"/>
    </row>
    <row r="256" spans="1:19">
      <c r="A256" s="157"/>
      <c r="B256" s="92"/>
      <c r="C256" s="92"/>
      <c r="D256" s="92"/>
      <c r="E256" s="92"/>
      <c r="F256" s="92"/>
      <c r="G256" s="92"/>
      <c r="H256" s="92"/>
      <c r="I256" s="92"/>
      <c r="J256" s="92"/>
      <c r="K256" s="92"/>
      <c r="L256" s="92"/>
      <c r="M256" s="92"/>
      <c r="N256" s="92"/>
      <c r="O256" s="92"/>
      <c r="P256" s="92"/>
      <c r="Q256" s="92"/>
      <c r="R256" s="92"/>
      <c r="S256" s="92"/>
    </row>
    <row r="257" spans="1:19">
      <c r="A257" s="157"/>
      <c r="B257" s="92"/>
      <c r="C257" s="92"/>
      <c r="D257" s="92"/>
      <c r="E257" s="92"/>
      <c r="F257" s="92"/>
      <c r="G257" s="92"/>
      <c r="H257" s="92"/>
      <c r="I257" s="92"/>
      <c r="J257" s="92"/>
      <c r="K257" s="92"/>
      <c r="L257" s="92"/>
      <c r="M257" s="92"/>
      <c r="N257" s="92"/>
      <c r="O257" s="92"/>
      <c r="P257" s="92"/>
      <c r="Q257" s="92"/>
      <c r="R257" s="92"/>
      <c r="S257" s="92"/>
    </row>
    <row r="258" spans="1:19">
      <c r="A258" s="157"/>
      <c r="B258" s="92"/>
      <c r="C258" s="92"/>
      <c r="D258" s="92"/>
      <c r="E258" s="92"/>
      <c r="F258" s="92"/>
      <c r="G258" s="92"/>
      <c r="H258" s="92"/>
      <c r="I258" s="92"/>
      <c r="J258" s="92"/>
      <c r="K258" s="92"/>
      <c r="L258" s="92"/>
      <c r="M258" s="92"/>
      <c r="N258" s="92"/>
      <c r="O258" s="92"/>
      <c r="P258" s="92"/>
      <c r="Q258" s="92"/>
      <c r="R258" s="92"/>
      <c r="S258" s="92"/>
    </row>
    <row r="259" spans="1:19">
      <c r="A259" s="157"/>
      <c r="B259" s="92"/>
      <c r="C259" s="92"/>
      <c r="D259" s="92"/>
      <c r="E259" s="92"/>
      <c r="F259" s="92"/>
      <c r="G259" s="92"/>
      <c r="H259" s="92"/>
      <c r="I259" s="92"/>
      <c r="J259" s="92"/>
      <c r="K259" s="92"/>
      <c r="L259" s="92"/>
      <c r="M259" s="92"/>
      <c r="N259" s="92"/>
      <c r="O259" s="92"/>
      <c r="P259" s="92"/>
      <c r="Q259" s="92"/>
      <c r="R259" s="92"/>
      <c r="S259" s="92"/>
    </row>
    <row r="260" spans="1:19">
      <c r="A260" s="157"/>
      <c r="B260" s="92"/>
      <c r="C260" s="92"/>
      <c r="D260" s="92"/>
      <c r="E260" s="92"/>
      <c r="F260" s="92"/>
      <c r="G260" s="92"/>
      <c r="H260" s="92"/>
      <c r="I260" s="92"/>
      <c r="J260" s="92"/>
      <c r="K260" s="92"/>
      <c r="L260" s="92"/>
      <c r="M260" s="92"/>
      <c r="N260" s="92"/>
      <c r="O260" s="92"/>
      <c r="P260" s="92"/>
      <c r="Q260" s="92"/>
      <c r="R260" s="92"/>
      <c r="S260" s="92"/>
    </row>
    <row r="261" spans="1:19">
      <c r="A261" s="157"/>
      <c r="B261" s="92"/>
      <c r="C261" s="92"/>
      <c r="D261" s="92"/>
      <c r="E261" s="92"/>
      <c r="F261" s="92"/>
      <c r="G261" s="92"/>
      <c r="H261" s="92"/>
      <c r="I261" s="92"/>
      <c r="J261" s="92"/>
      <c r="K261" s="92"/>
      <c r="L261" s="92"/>
      <c r="M261" s="92"/>
      <c r="N261" s="92"/>
      <c r="O261" s="92"/>
      <c r="P261" s="92"/>
      <c r="Q261" s="92"/>
      <c r="R261" s="92"/>
      <c r="S261" s="92"/>
    </row>
    <row r="262" spans="1:19">
      <c r="A262" s="157"/>
      <c r="B262" s="92"/>
      <c r="C262" s="92"/>
      <c r="D262" s="92"/>
      <c r="E262" s="92"/>
      <c r="F262" s="92"/>
      <c r="G262" s="92"/>
      <c r="H262" s="92"/>
      <c r="I262" s="92"/>
      <c r="J262" s="92"/>
      <c r="K262" s="92"/>
      <c r="L262" s="92"/>
      <c r="M262" s="92"/>
      <c r="N262" s="92"/>
      <c r="O262" s="92"/>
      <c r="P262" s="92"/>
      <c r="Q262" s="92"/>
      <c r="R262" s="92"/>
      <c r="S262" s="92"/>
    </row>
    <row r="263" spans="1:19">
      <c r="A263" s="157"/>
      <c r="B263" s="92"/>
      <c r="C263" s="92"/>
      <c r="D263" s="92"/>
      <c r="E263" s="92"/>
      <c r="F263" s="92"/>
      <c r="G263" s="92"/>
      <c r="H263" s="92"/>
      <c r="I263" s="92"/>
      <c r="J263" s="92"/>
      <c r="K263" s="92"/>
      <c r="L263" s="92"/>
      <c r="M263" s="92"/>
      <c r="N263" s="92"/>
      <c r="O263" s="92"/>
      <c r="P263" s="92"/>
      <c r="Q263" s="92"/>
      <c r="R263" s="92"/>
      <c r="S263" s="92"/>
    </row>
    <row r="264" spans="1:19">
      <c r="A264" s="157"/>
      <c r="B264" s="92"/>
      <c r="C264" s="92"/>
      <c r="D264" s="92"/>
      <c r="E264" s="92"/>
      <c r="F264" s="92"/>
      <c r="G264" s="92"/>
      <c r="H264" s="92"/>
      <c r="I264" s="92"/>
      <c r="J264" s="92"/>
      <c r="K264" s="92"/>
      <c r="L264" s="92"/>
      <c r="M264" s="92"/>
      <c r="N264" s="92"/>
      <c r="O264" s="92"/>
      <c r="P264" s="92"/>
      <c r="Q264" s="92"/>
      <c r="R264" s="92"/>
      <c r="S264" s="92"/>
    </row>
    <row r="265" spans="1:19">
      <c r="A265" s="157"/>
      <c r="B265" s="92"/>
      <c r="C265" s="92"/>
      <c r="D265" s="92"/>
      <c r="E265" s="92"/>
      <c r="F265" s="92"/>
      <c r="G265" s="92"/>
      <c r="H265" s="92"/>
      <c r="I265" s="92"/>
      <c r="J265" s="92"/>
      <c r="K265" s="92"/>
      <c r="L265" s="92"/>
      <c r="M265" s="92"/>
      <c r="N265" s="92"/>
      <c r="O265" s="92"/>
      <c r="P265" s="92"/>
      <c r="Q265" s="92"/>
      <c r="R265" s="92"/>
      <c r="S265" s="92"/>
    </row>
    <row r="266" spans="1:19">
      <c r="A266" s="157"/>
      <c r="B266" s="92"/>
      <c r="C266" s="92"/>
      <c r="D266" s="92"/>
      <c r="E266" s="92"/>
      <c r="F266" s="92"/>
      <c r="G266" s="92"/>
      <c r="H266" s="92"/>
      <c r="I266" s="92"/>
      <c r="J266" s="92"/>
      <c r="K266" s="92"/>
      <c r="L266" s="92"/>
      <c r="M266" s="92"/>
      <c r="N266" s="92"/>
      <c r="O266" s="92"/>
      <c r="P266" s="92"/>
      <c r="Q266" s="92"/>
      <c r="R266" s="92"/>
      <c r="S266" s="92"/>
    </row>
    <row r="267" spans="1:19">
      <c r="A267" s="157"/>
      <c r="B267" s="92"/>
      <c r="C267" s="92"/>
      <c r="D267" s="92"/>
      <c r="E267" s="92"/>
      <c r="F267" s="92"/>
      <c r="G267" s="92"/>
      <c r="H267" s="92"/>
      <c r="I267" s="92"/>
      <c r="J267" s="92"/>
      <c r="K267" s="92"/>
      <c r="L267" s="92"/>
      <c r="M267" s="92"/>
      <c r="N267" s="92"/>
      <c r="O267" s="92"/>
      <c r="P267" s="92"/>
      <c r="Q267" s="92"/>
      <c r="R267" s="92"/>
      <c r="S267" s="92"/>
    </row>
    <row r="268" spans="1:19">
      <c r="A268" s="157"/>
      <c r="B268" s="92"/>
      <c r="C268" s="92"/>
      <c r="D268" s="92"/>
      <c r="E268" s="92"/>
      <c r="F268" s="92"/>
      <c r="G268" s="92"/>
      <c r="H268" s="92"/>
      <c r="I268" s="92"/>
      <c r="J268" s="92"/>
      <c r="K268" s="92"/>
      <c r="L268" s="92"/>
      <c r="M268" s="92"/>
      <c r="N268" s="92"/>
      <c r="O268" s="92"/>
      <c r="P268" s="92"/>
      <c r="Q268" s="92"/>
      <c r="R268" s="92"/>
      <c r="S268" s="92"/>
    </row>
    <row r="269" spans="1:19">
      <c r="A269" s="157"/>
      <c r="B269" s="92"/>
      <c r="C269" s="92"/>
      <c r="D269" s="92"/>
      <c r="E269" s="92"/>
      <c r="F269" s="92"/>
      <c r="G269" s="92"/>
      <c r="H269" s="92"/>
      <c r="I269" s="92"/>
      <c r="J269" s="92"/>
      <c r="K269" s="92"/>
      <c r="L269" s="92"/>
      <c r="M269" s="92"/>
      <c r="N269" s="92"/>
      <c r="O269" s="92"/>
      <c r="P269" s="92"/>
      <c r="Q269" s="92"/>
      <c r="R269" s="92"/>
      <c r="S269" s="92"/>
    </row>
    <row r="270" spans="1:19">
      <c r="A270" s="157"/>
      <c r="B270" s="92"/>
      <c r="C270" s="92"/>
      <c r="D270" s="92"/>
      <c r="E270" s="92"/>
      <c r="F270" s="92"/>
      <c r="G270" s="92"/>
      <c r="H270" s="92"/>
      <c r="I270" s="92"/>
      <c r="J270" s="92"/>
      <c r="K270" s="92"/>
      <c r="L270" s="92"/>
      <c r="M270" s="92"/>
      <c r="N270" s="92"/>
      <c r="O270" s="92"/>
      <c r="P270" s="92"/>
      <c r="Q270" s="92"/>
      <c r="R270" s="92"/>
      <c r="S270" s="92"/>
    </row>
    <row r="271" spans="1:19">
      <c r="A271" s="157"/>
      <c r="B271" s="92"/>
      <c r="C271" s="92"/>
      <c r="D271" s="92"/>
      <c r="E271" s="92"/>
      <c r="F271" s="92"/>
      <c r="G271" s="92"/>
      <c r="H271" s="92"/>
      <c r="I271" s="92"/>
      <c r="J271" s="92"/>
      <c r="K271" s="92"/>
      <c r="L271" s="92"/>
      <c r="M271" s="92"/>
      <c r="N271" s="92"/>
      <c r="O271" s="92"/>
      <c r="P271" s="92"/>
      <c r="Q271" s="92"/>
      <c r="R271" s="92"/>
      <c r="S271" s="92"/>
    </row>
    <row r="272" spans="1:19">
      <c r="A272" s="157"/>
      <c r="B272" s="92"/>
      <c r="C272" s="92"/>
      <c r="D272" s="92"/>
      <c r="E272" s="92"/>
      <c r="F272" s="92"/>
      <c r="G272" s="92"/>
      <c r="H272" s="92"/>
      <c r="I272" s="92"/>
      <c r="J272" s="92"/>
      <c r="K272" s="92"/>
      <c r="L272" s="92"/>
      <c r="M272" s="92"/>
      <c r="N272" s="92"/>
      <c r="O272" s="92"/>
      <c r="P272" s="92"/>
      <c r="Q272" s="92"/>
      <c r="R272" s="92"/>
      <c r="S272" s="92"/>
    </row>
    <row r="273" spans="1:19">
      <c r="A273" s="157"/>
      <c r="B273" s="92"/>
      <c r="C273" s="92"/>
      <c r="D273" s="92"/>
      <c r="E273" s="92"/>
      <c r="F273" s="92"/>
      <c r="G273" s="92"/>
      <c r="H273" s="92"/>
      <c r="I273" s="92"/>
      <c r="J273" s="92"/>
      <c r="K273" s="92"/>
      <c r="L273" s="92"/>
      <c r="M273" s="92"/>
      <c r="N273" s="92"/>
      <c r="O273" s="92"/>
      <c r="P273" s="92"/>
      <c r="Q273" s="92"/>
      <c r="R273" s="92"/>
      <c r="S273" s="92"/>
    </row>
    <row r="274" spans="1:19">
      <c r="A274" s="157"/>
      <c r="B274" s="92"/>
      <c r="C274" s="92"/>
      <c r="D274" s="92"/>
      <c r="E274" s="92"/>
      <c r="F274" s="92"/>
      <c r="G274" s="92"/>
      <c r="H274" s="92"/>
      <c r="I274" s="92"/>
      <c r="J274" s="92"/>
      <c r="K274" s="92"/>
      <c r="L274" s="92"/>
      <c r="M274" s="92"/>
      <c r="N274" s="92"/>
      <c r="O274" s="92"/>
      <c r="P274" s="92"/>
      <c r="Q274" s="92"/>
      <c r="R274" s="92"/>
      <c r="S274" s="92"/>
    </row>
    <row r="275" spans="1:19">
      <c r="A275" s="157"/>
      <c r="B275" s="92"/>
      <c r="C275" s="92"/>
      <c r="D275" s="92"/>
      <c r="E275" s="92"/>
      <c r="F275" s="92"/>
      <c r="G275" s="92"/>
      <c r="H275" s="92"/>
      <c r="I275" s="92"/>
      <c r="J275" s="92"/>
      <c r="K275" s="92"/>
      <c r="L275" s="92"/>
      <c r="M275" s="92"/>
      <c r="N275" s="92"/>
      <c r="O275" s="92"/>
      <c r="P275" s="92"/>
      <c r="Q275" s="92"/>
      <c r="R275" s="92"/>
      <c r="S275" s="92"/>
    </row>
    <row r="276" spans="1:19">
      <c r="A276" s="157"/>
      <c r="B276" s="92"/>
      <c r="C276" s="92"/>
      <c r="D276" s="92"/>
      <c r="E276" s="92"/>
      <c r="F276" s="92"/>
      <c r="G276" s="92"/>
      <c r="H276" s="92"/>
      <c r="I276" s="92"/>
      <c r="J276" s="92"/>
      <c r="K276" s="92"/>
      <c r="L276" s="92"/>
      <c r="M276" s="92"/>
      <c r="N276" s="92"/>
      <c r="O276" s="92"/>
      <c r="P276" s="92"/>
      <c r="Q276" s="92"/>
      <c r="R276" s="92"/>
      <c r="S276" s="92"/>
    </row>
    <row r="277" spans="1:19">
      <c r="A277" s="157"/>
      <c r="B277" s="92"/>
      <c r="C277" s="92"/>
      <c r="D277" s="92"/>
      <c r="E277" s="92"/>
      <c r="F277" s="92"/>
      <c r="G277" s="92"/>
      <c r="H277" s="92"/>
      <c r="I277" s="92"/>
      <c r="J277" s="92"/>
      <c r="K277" s="92"/>
      <c r="L277" s="92"/>
      <c r="M277" s="92"/>
      <c r="N277" s="92"/>
      <c r="O277" s="92"/>
      <c r="P277" s="92"/>
      <c r="Q277" s="92"/>
      <c r="R277" s="92"/>
      <c r="S277" s="92"/>
    </row>
    <row r="278" spans="1:19">
      <c r="A278" s="157"/>
      <c r="B278" s="92"/>
      <c r="C278" s="92"/>
      <c r="D278" s="92"/>
      <c r="E278" s="92"/>
      <c r="F278" s="92"/>
      <c r="G278" s="92"/>
      <c r="H278" s="92"/>
      <c r="I278" s="92"/>
      <c r="J278" s="92"/>
      <c r="K278" s="92"/>
      <c r="L278" s="92"/>
      <c r="M278" s="92"/>
      <c r="N278" s="92"/>
      <c r="O278" s="92"/>
      <c r="P278" s="92"/>
      <c r="Q278" s="92"/>
      <c r="R278" s="92"/>
      <c r="S278" s="92"/>
    </row>
    <row r="279" spans="1:19">
      <c r="A279" s="157"/>
      <c r="B279" s="92"/>
      <c r="C279" s="92"/>
      <c r="D279" s="92"/>
      <c r="E279" s="92"/>
      <c r="F279" s="92"/>
      <c r="G279" s="92"/>
      <c r="H279" s="92"/>
      <c r="I279" s="92"/>
      <c r="J279" s="92"/>
      <c r="K279" s="92"/>
      <c r="L279" s="92"/>
      <c r="M279" s="92"/>
      <c r="N279" s="92"/>
      <c r="O279" s="92"/>
      <c r="P279" s="92"/>
      <c r="Q279" s="92"/>
      <c r="R279" s="92"/>
      <c r="S279" s="92"/>
    </row>
    <row r="280" spans="1:19">
      <c r="A280" s="157"/>
      <c r="B280" s="92"/>
      <c r="C280" s="92"/>
      <c r="D280" s="92"/>
      <c r="E280" s="92"/>
      <c r="F280" s="92"/>
      <c r="G280" s="92"/>
      <c r="H280" s="92"/>
      <c r="I280" s="92"/>
      <c r="J280" s="92"/>
      <c r="K280" s="92"/>
      <c r="L280" s="92"/>
      <c r="M280" s="92"/>
      <c r="N280" s="92"/>
      <c r="O280" s="92"/>
      <c r="P280" s="92"/>
      <c r="Q280" s="92"/>
      <c r="R280" s="92"/>
      <c r="S280" s="92"/>
    </row>
    <row r="281" spans="1:19">
      <c r="A281" s="157"/>
      <c r="B281" s="92"/>
      <c r="C281" s="92"/>
      <c r="D281" s="92"/>
      <c r="E281" s="92"/>
      <c r="F281" s="92"/>
      <c r="G281" s="92"/>
      <c r="H281" s="92"/>
      <c r="I281" s="92"/>
      <c r="J281" s="92"/>
      <c r="K281" s="92"/>
      <c r="L281" s="92"/>
      <c r="M281" s="92"/>
      <c r="N281" s="92"/>
      <c r="O281" s="92"/>
      <c r="P281" s="92"/>
      <c r="Q281" s="92"/>
      <c r="R281" s="92"/>
      <c r="S281" s="92"/>
    </row>
    <row r="282" spans="1:19">
      <c r="A282" s="157"/>
      <c r="B282" s="92"/>
      <c r="C282" s="92"/>
      <c r="D282" s="92"/>
      <c r="E282" s="92"/>
      <c r="F282" s="92"/>
      <c r="G282" s="92"/>
      <c r="H282" s="92"/>
      <c r="I282" s="92"/>
      <c r="J282" s="92"/>
      <c r="K282" s="92"/>
      <c r="L282" s="92"/>
      <c r="M282" s="92"/>
      <c r="N282" s="92"/>
      <c r="O282" s="92"/>
      <c r="P282" s="92"/>
      <c r="Q282" s="92"/>
      <c r="R282" s="92"/>
      <c r="S282" s="92"/>
    </row>
    <row r="283" spans="1:19">
      <c r="A283" s="157"/>
      <c r="B283" s="92"/>
      <c r="C283" s="92"/>
      <c r="D283" s="92"/>
      <c r="E283" s="92"/>
      <c r="F283" s="92"/>
      <c r="G283" s="92"/>
      <c r="H283" s="92"/>
      <c r="I283" s="92"/>
      <c r="J283" s="92"/>
      <c r="K283" s="92"/>
      <c r="L283" s="92"/>
      <c r="M283" s="92"/>
      <c r="N283" s="92"/>
      <c r="O283" s="92"/>
      <c r="P283" s="92"/>
      <c r="Q283" s="92"/>
      <c r="R283" s="92"/>
      <c r="S283" s="92"/>
    </row>
    <row r="284" spans="1:19">
      <c r="A284" s="157"/>
      <c r="B284" s="92"/>
      <c r="C284" s="92"/>
      <c r="D284" s="92"/>
      <c r="E284" s="92"/>
      <c r="F284" s="92"/>
      <c r="G284" s="92"/>
      <c r="H284" s="92"/>
      <c r="I284" s="92"/>
      <c r="J284" s="92"/>
      <c r="K284" s="92"/>
      <c r="L284" s="92"/>
      <c r="M284" s="92"/>
      <c r="N284" s="92"/>
      <c r="O284" s="92"/>
      <c r="P284" s="92"/>
      <c r="Q284" s="92"/>
      <c r="R284" s="92"/>
      <c r="S284" s="92"/>
    </row>
    <row r="285" spans="1:19">
      <c r="A285" s="157"/>
      <c r="B285" s="92"/>
      <c r="C285" s="92"/>
      <c r="D285" s="92"/>
      <c r="E285" s="92"/>
      <c r="F285" s="92"/>
      <c r="G285" s="92"/>
      <c r="H285" s="92"/>
      <c r="I285" s="92"/>
      <c r="J285" s="92"/>
      <c r="K285" s="92"/>
      <c r="L285" s="92"/>
      <c r="M285" s="92"/>
      <c r="N285" s="92"/>
      <c r="O285" s="92"/>
      <c r="P285" s="92"/>
      <c r="Q285" s="92"/>
      <c r="R285" s="92"/>
      <c r="S285" s="92"/>
    </row>
    <row r="286" spans="1:19">
      <c r="A286" s="157"/>
      <c r="B286" s="92"/>
      <c r="C286" s="92"/>
      <c r="D286" s="92"/>
      <c r="E286" s="92"/>
      <c r="F286" s="92"/>
      <c r="G286" s="92"/>
      <c r="H286" s="92"/>
      <c r="I286" s="92"/>
      <c r="J286" s="92"/>
      <c r="K286" s="92"/>
      <c r="L286" s="92"/>
      <c r="M286" s="92"/>
      <c r="N286" s="92"/>
      <c r="O286" s="92"/>
      <c r="P286" s="92"/>
      <c r="Q286" s="92"/>
      <c r="R286" s="92"/>
      <c r="S286" s="92"/>
    </row>
    <row r="287" spans="1:19">
      <c r="A287" s="157"/>
      <c r="B287" s="92"/>
      <c r="C287" s="92"/>
      <c r="D287" s="92"/>
      <c r="E287" s="92"/>
      <c r="F287" s="92"/>
      <c r="G287" s="92"/>
      <c r="H287" s="92"/>
      <c r="I287" s="92"/>
      <c r="J287" s="92"/>
      <c r="K287" s="92"/>
      <c r="L287" s="92"/>
      <c r="M287" s="92"/>
      <c r="N287" s="92"/>
      <c r="O287" s="92"/>
      <c r="P287" s="92"/>
      <c r="Q287" s="92"/>
      <c r="R287" s="92"/>
      <c r="S287" s="92"/>
    </row>
    <row r="288" spans="1:19">
      <c r="A288" s="157"/>
      <c r="B288" s="92"/>
      <c r="C288" s="92"/>
      <c r="D288" s="92"/>
      <c r="E288" s="92"/>
      <c r="F288" s="92"/>
      <c r="G288" s="92"/>
      <c r="H288" s="92"/>
      <c r="I288" s="92"/>
      <c r="J288" s="92"/>
      <c r="K288" s="92"/>
      <c r="L288" s="92"/>
      <c r="M288" s="92"/>
      <c r="N288" s="92"/>
      <c r="O288" s="92"/>
      <c r="P288" s="92"/>
      <c r="Q288" s="92"/>
      <c r="R288" s="92"/>
      <c r="S288" s="92"/>
    </row>
    <row r="289" spans="1:19">
      <c r="A289" s="157"/>
      <c r="B289" s="92"/>
      <c r="C289" s="92"/>
      <c r="D289" s="92"/>
      <c r="E289" s="92"/>
      <c r="F289" s="92"/>
      <c r="G289" s="92"/>
      <c r="H289" s="92"/>
      <c r="I289" s="92"/>
      <c r="J289" s="92"/>
      <c r="K289" s="92"/>
      <c r="L289" s="92"/>
      <c r="M289" s="92"/>
      <c r="N289" s="92"/>
      <c r="O289" s="92"/>
      <c r="P289" s="92"/>
      <c r="Q289" s="92"/>
      <c r="R289" s="92"/>
      <c r="S289" s="92"/>
    </row>
    <row r="290" spans="1:19">
      <c r="A290" s="157"/>
      <c r="B290" s="92"/>
      <c r="C290" s="92"/>
      <c r="D290" s="92"/>
      <c r="E290" s="92"/>
      <c r="F290" s="92"/>
      <c r="G290" s="92"/>
      <c r="H290" s="92"/>
      <c r="I290" s="92"/>
      <c r="J290" s="92"/>
      <c r="K290" s="92"/>
      <c r="L290" s="92"/>
      <c r="M290" s="92"/>
      <c r="N290" s="92"/>
      <c r="O290" s="92"/>
      <c r="P290" s="92"/>
      <c r="Q290" s="92"/>
      <c r="R290" s="92"/>
      <c r="S290" s="92"/>
    </row>
    <row r="291" spans="1:19">
      <c r="A291" s="157"/>
      <c r="B291" s="92"/>
      <c r="C291" s="92"/>
      <c r="D291" s="92"/>
      <c r="E291" s="92"/>
      <c r="F291" s="92"/>
      <c r="G291" s="92"/>
      <c r="H291" s="92"/>
      <c r="I291" s="92"/>
      <c r="J291" s="92"/>
      <c r="K291" s="92"/>
      <c r="L291" s="92"/>
      <c r="M291" s="92"/>
      <c r="N291" s="92"/>
      <c r="O291" s="92"/>
      <c r="P291" s="92"/>
      <c r="Q291" s="92"/>
      <c r="R291" s="92"/>
      <c r="S291" s="92"/>
    </row>
    <row r="292" spans="1:19">
      <c r="A292" s="157"/>
      <c r="B292" s="92"/>
      <c r="C292" s="92"/>
      <c r="D292" s="92"/>
      <c r="E292" s="92"/>
      <c r="F292" s="92"/>
      <c r="G292" s="92"/>
      <c r="H292" s="92"/>
      <c r="I292" s="92"/>
      <c r="J292" s="92"/>
      <c r="K292" s="92"/>
      <c r="L292" s="92"/>
      <c r="M292" s="92"/>
      <c r="N292" s="92"/>
      <c r="O292" s="92"/>
      <c r="P292" s="92"/>
      <c r="Q292" s="92"/>
      <c r="R292" s="92"/>
      <c r="S292" s="92"/>
    </row>
    <row r="293" spans="1:19">
      <c r="A293" s="157"/>
      <c r="B293" s="92"/>
      <c r="C293" s="92"/>
      <c r="D293" s="92"/>
      <c r="E293" s="92"/>
      <c r="F293" s="92"/>
      <c r="G293" s="92"/>
      <c r="H293" s="92"/>
      <c r="I293" s="92"/>
      <c r="J293" s="92"/>
      <c r="K293" s="92"/>
      <c r="L293" s="92"/>
      <c r="M293" s="92"/>
      <c r="N293" s="92"/>
      <c r="O293" s="92"/>
      <c r="P293" s="92"/>
      <c r="Q293" s="92"/>
      <c r="R293" s="92"/>
      <c r="S293" s="92"/>
    </row>
    <row r="294" spans="1:19">
      <c r="A294" s="157"/>
      <c r="B294" s="92"/>
      <c r="C294" s="92"/>
      <c r="D294" s="92"/>
      <c r="E294" s="92"/>
      <c r="F294" s="92"/>
      <c r="G294" s="92"/>
      <c r="H294" s="92"/>
      <c r="I294" s="92"/>
      <c r="J294" s="92"/>
      <c r="K294" s="92"/>
      <c r="L294" s="92"/>
      <c r="M294" s="92"/>
      <c r="N294" s="92"/>
      <c r="O294" s="92"/>
      <c r="P294" s="92"/>
      <c r="Q294" s="92"/>
      <c r="R294" s="92"/>
      <c r="S294" s="92"/>
    </row>
    <row r="295" spans="1:19">
      <c r="A295" s="157"/>
      <c r="B295" s="92"/>
      <c r="C295" s="92"/>
      <c r="D295" s="92"/>
      <c r="E295" s="92"/>
      <c r="F295" s="92"/>
      <c r="G295" s="92"/>
      <c r="H295" s="92"/>
      <c r="I295" s="92"/>
      <c r="J295" s="92"/>
      <c r="K295" s="92"/>
      <c r="L295" s="92"/>
      <c r="M295" s="92"/>
      <c r="N295" s="92"/>
      <c r="O295" s="92"/>
      <c r="P295" s="92"/>
      <c r="Q295" s="92"/>
      <c r="R295" s="92"/>
      <c r="S295" s="92"/>
    </row>
    <row r="296" spans="1:19">
      <c r="A296" s="157"/>
      <c r="B296" s="92"/>
      <c r="C296" s="92"/>
      <c r="D296" s="92"/>
      <c r="E296" s="92"/>
      <c r="F296" s="92"/>
      <c r="G296" s="92"/>
      <c r="H296" s="92"/>
      <c r="I296" s="92"/>
      <c r="J296" s="92"/>
      <c r="K296" s="92"/>
      <c r="L296" s="92"/>
      <c r="M296" s="92"/>
      <c r="N296" s="92"/>
      <c r="O296" s="92"/>
      <c r="P296" s="92"/>
      <c r="Q296" s="92"/>
      <c r="R296" s="92"/>
      <c r="S296" s="92"/>
    </row>
    <row r="297" spans="1:19">
      <c r="A297" s="157"/>
      <c r="B297" s="92"/>
      <c r="C297" s="92"/>
      <c r="D297" s="92"/>
      <c r="E297" s="92"/>
      <c r="F297" s="92"/>
      <c r="G297" s="92"/>
      <c r="H297" s="92"/>
      <c r="I297" s="92"/>
      <c r="J297" s="92"/>
      <c r="K297" s="92"/>
      <c r="L297" s="92"/>
      <c r="M297" s="92"/>
      <c r="N297" s="92"/>
      <c r="O297" s="92"/>
      <c r="P297" s="92"/>
      <c r="Q297" s="92"/>
      <c r="R297" s="92"/>
      <c r="S297" s="92"/>
    </row>
    <row r="298" spans="1:19">
      <c r="A298" s="157"/>
      <c r="B298" s="92"/>
      <c r="C298" s="92"/>
      <c r="D298" s="92"/>
      <c r="E298" s="92"/>
      <c r="F298" s="92"/>
      <c r="G298" s="92"/>
      <c r="H298" s="92"/>
      <c r="I298" s="92"/>
      <c r="J298" s="92"/>
      <c r="K298" s="92"/>
      <c r="L298" s="92"/>
      <c r="M298" s="92"/>
      <c r="N298" s="92"/>
      <c r="O298" s="92"/>
      <c r="P298" s="92"/>
      <c r="Q298" s="92"/>
      <c r="R298" s="92"/>
      <c r="S298" s="92"/>
    </row>
    <row r="299" spans="1:19">
      <c r="A299" s="157"/>
      <c r="B299" s="92"/>
      <c r="C299" s="92"/>
      <c r="D299" s="92"/>
      <c r="E299" s="92"/>
      <c r="F299" s="92"/>
      <c r="G299" s="92"/>
      <c r="H299" s="92"/>
      <c r="I299" s="92"/>
      <c r="J299" s="92"/>
      <c r="K299" s="92"/>
      <c r="L299" s="92"/>
      <c r="M299" s="92"/>
      <c r="N299" s="92"/>
      <c r="O299" s="92"/>
      <c r="P299" s="92"/>
      <c r="Q299" s="92"/>
      <c r="R299" s="92"/>
      <c r="S299" s="92"/>
    </row>
    <row r="300" spans="1:19">
      <c r="A300" s="157"/>
      <c r="B300" s="92"/>
      <c r="C300" s="92"/>
      <c r="D300" s="92"/>
      <c r="E300" s="92"/>
      <c r="F300" s="92"/>
      <c r="G300" s="92"/>
      <c r="H300" s="92"/>
      <c r="I300" s="92"/>
      <c r="J300" s="92"/>
      <c r="K300" s="92"/>
      <c r="L300" s="92"/>
      <c r="M300" s="92"/>
      <c r="N300" s="92"/>
      <c r="O300" s="92"/>
      <c r="P300" s="92"/>
      <c r="Q300" s="92"/>
      <c r="R300" s="92"/>
      <c r="S300" s="92"/>
    </row>
    <row r="301" spans="1:19">
      <c r="A301" s="157"/>
      <c r="B301" s="92"/>
      <c r="C301" s="92"/>
      <c r="D301" s="92"/>
      <c r="E301" s="92"/>
      <c r="F301" s="92"/>
      <c r="G301" s="92"/>
      <c r="H301" s="92"/>
      <c r="I301" s="92"/>
      <c r="J301" s="92"/>
      <c r="K301" s="92"/>
      <c r="L301" s="92"/>
      <c r="M301" s="92"/>
      <c r="N301" s="92"/>
      <c r="O301" s="92"/>
      <c r="P301" s="92"/>
      <c r="Q301" s="92"/>
      <c r="R301" s="92"/>
      <c r="S301" s="92"/>
    </row>
    <row r="302" spans="1:19">
      <c r="A302" s="157"/>
      <c r="B302" s="92"/>
      <c r="C302" s="92"/>
      <c r="D302" s="92"/>
      <c r="E302" s="92"/>
      <c r="F302" s="92"/>
      <c r="G302" s="92"/>
      <c r="H302" s="92"/>
      <c r="I302" s="92"/>
      <c r="J302" s="92"/>
      <c r="K302" s="92"/>
      <c r="L302" s="92"/>
      <c r="M302" s="92"/>
      <c r="N302" s="92"/>
      <c r="O302" s="92"/>
      <c r="P302" s="92"/>
      <c r="Q302" s="92"/>
      <c r="R302" s="92"/>
      <c r="S302" s="92"/>
    </row>
    <row r="303" spans="1:19">
      <c r="A303" s="157"/>
      <c r="B303" s="92"/>
      <c r="C303" s="92"/>
      <c r="D303" s="92"/>
      <c r="E303" s="92"/>
      <c r="F303" s="92"/>
      <c r="G303" s="92"/>
      <c r="H303" s="92"/>
      <c r="I303" s="92"/>
      <c r="J303" s="92"/>
      <c r="K303" s="92"/>
      <c r="L303" s="92"/>
      <c r="M303" s="92"/>
      <c r="N303" s="92"/>
      <c r="O303" s="92"/>
      <c r="P303" s="92"/>
      <c r="Q303" s="92"/>
      <c r="R303" s="92"/>
      <c r="S303" s="92"/>
    </row>
    <row r="304" spans="1:19">
      <c r="A304" s="157"/>
      <c r="B304" s="92"/>
      <c r="C304" s="92"/>
      <c r="D304" s="92"/>
      <c r="E304" s="92"/>
      <c r="F304" s="92"/>
      <c r="G304" s="92"/>
      <c r="H304" s="92"/>
      <c r="I304" s="92"/>
      <c r="J304" s="92"/>
      <c r="K304" s="92"/>
      <c r="L304" s="92"/>
      <c r="M304" s="92"/>
      <c r="N304" s="92"/>
      <c r="O304" s="92"/>
      <c r="P304" s="92"/>
      <c r="Q304" s="92"/>
      <c r="R304" s="92"/>
      <c r="S304" s="92"/>
    </row>
    <row r="305" spans="1:19">
      <c r="A305" s="157"/>
      <c r="B305" s="92"/>
      <c r="C305" s="92"/>
      <c r="D305" s="92"/>
      <c r="E305" s="92"/>
      <c r="F305" s="92"/>
      <c r="G305" s="92"/>
      <c r="H305" s="92"/>
      <c r="I305" s="92"/>
      <c r="J305" s="92"/>
      <c r="K305" s="92"/>
      <c r="L305" s="92"/>
      <c r="M305" s="92"/>
      <c r="N305" s="92"/>
      <c r="O305" s="92"/>
      <c r="P305" s="92"/>
      <c r="Q305" s="92"/>
      <c r="R305" s="92"/>
      <c r="S305" s="92"/>
    </row>
    <row r="306" spans="1:19">
      <c r="A306" s="157"/>
      <c r="B306" s="92"/>
      <c r="C306" s="92"/>
      <c r="D306" s="92"/>
      <c r="E306" s="92"/>
      <c r="F306" s="92"/>
      <c r="G306" s="92"/>
      <c r="H306" s="92"/>
      <c r="I306" s="92"/>
      <c r="J306" s="92"/>
      <c r="K306" s="92"/>
      <c r="L306" s="92"/>
      <c r="M306" s="92"/>
      <c r="N306" s="92"/>
      <c r="O306" s="92"/>
      <c r="P306" s="92"/>
      <c r="Q306" s="92"/>
      <c r="R306" s="92"/>
      <c r="S306" s="92"/>
    </row>
    <row r="307" spans="1:19">
      <c r="A307" s="157"/>
      <c r="B307" s="92"/>
      <c r="C307" s="92"/>
      <c r="D307" s="92"/>
      <c r="E307" s="92"/>
      <c r="F307" s="92"/>
      <c r="G307" s="92"/>
      <c r="H307" s="92"/>
      <c r="I307" s="92"/>
      <c r="J307" s="92"/>
      <c r="K307" s="92"/>
      <c r="L307" s="92"/>
      <c r="M307" s="92"/>
      <c r="N307" s="92"/>
      <c r="O307" s="92"/>
      <c r="P307" s="92"/>
      <c r="Q307" s="92"/>
      <c r="R307" s="92"/>
      <c r="S307" s="92"/>
    </row>
    <row r="308" spans="1:19">
      <c r="A308" s="157"/>
      <c r="B308" s="92"/>
      <c r="C308" s="92"/>
      <c r="D308" s="92"/>
      <c r="E308" s="92"/>
      <c r="F308" s="92"/>
      <c r="G308" s="92"/>
      <c r="H308" s="92"/>
      <c r="I308" s="92"/>
      <c r="J308" s="92"/>
      <c r="K308" s="92"/>
      <c r="L308" s="92"/>
      <c r="M308" s="92"/>
      <c r="N308" s="92"/>
      <c r="O308" s="92"/>
      <c r="P308" s="92"/>
      <c r="Q308" s="92"/>
      <c r="R308" s="92"/>
      <c r="S308" s="92"/>
    </row>
    <row r="309" spans="1:19">
      <c r="A309" s="157"/>
      <c r="B309" s="92"/>
      <c r="C309" s="92"/>
      <c r="D309" s="92"/>
      <c r="E309" s="92"/>
      <c r="F309" s="92"/>
      <c r="G309" s="92"/>
      <c r="H309" s="92"/>
      <c r="I309" s="92"/>
      <c r="J309" s="92"/>
      <c r="K309" s="92"/>
      <c r="L309" s="92"/>
      <c r="M309" s="92"/>
      <c r="N309" s="92"/>
      <c r="O309" s="92"/>
      <c r="P309" s="92"/>
      <c r="Q309" s="92"/>
      <c r="R309" s="92"/>
      <c r="S309" s="92"/>
    </row>
    <row r="310" spans="1:19">
      <c r="A310" s="157"/>
      <c r="B310" s="92"/>
      <c r="C310" s="92"/>
      <c r="D310" s="92"/>
      <c r="E310" s="92"/>
      <c r="F310" s="92"/>
      <c r="G310" s="92"/>
      <c r="H310" s="92"/>
      <c r="I310" s="92"/>
      <c r="J310" s="92"/>
      <c r="K310" s="92"/>
      <c r="L310" s="92"/>
      <c r="M310" s="92"/>
      <c r="N310" s="92"/>
      <c r="O310" s="92"/>
      <c r="P310" s="92"/>
      <c r="Q310" s="92"/>
      <c r="R310" s="92"/>
      <c r="S310" s="92"/>
    </row>
    <row r="311" spans="1:19">
      <c r="A311" s="157"/>
      <c r="B311" s="92"/>
      <c r="C311" s="92"/>
      <c r="D311" s="92"/>
      <c r="E311" s="92"/>
      <c r="F311" s="92"/>
      <c r="G311" s="92"/>
      <c r="H311" s="92"/>
      <c r="I311" s="92"/>
      <c r="J311" s="92"/>
      <c r="K311" s="92"/>
      <c r="L311" s="92"/>
      <c r="M311" s="92"/>
      <c r="N311" s="92"/>
      <c r="O311" s="92"/>
      <c r="P311" s="92"/>
      <c r="Q311" s="92"/>
      <c r="R311" s="92"/>
      <c r="S311" s="92"/>
    </row>
    <row r="312" spans="1:19">
      <c r="A312" s="157"/>
      <c r="B312" s="92"/>
      <c r="C312" s="92"/>
      <c r="D312" s="92"/>
      <c r="E312" s="92"/>
      <c r="F312" s="92"/>
      <c r="G312" s="92"/>
      <c r="H312" s="92"/>
      <c r="I312" s="92"/>
      <c r="J312" s="92"/>
      <c r="K312" s="92"/>
      <c r="L312" s="92"/>
      <c r="M312" s="92"/>
      <c r="N312" s="92"/>
      <c r="O312" s="92"/>
      <c r="P312" s="92"/>
      <c r="Q312" s="92"/>
      <c r="R312" s="92"/>
      <c r="S312" s="92"/>
    </row>
    <row r="313" spans="1:19">
      <c r="A313" s="157"/>
      <c r="B313" s="92"/>
      <c r="C313" s="92"/>
      <c r="D313" s="92"/>
      <c r="E313" s="92"/>
      <c r="F313" s="92"/>
      <c r="G313" s="92"/>
      <c r="H313" s="92"/>
      <c r="I313" s="92"/>
      <c r="J313" s="92"/>
      <c r="K313" s="92"/>
      <c r="L313" s="92"/>
      <c r="M313" s="92"/>
      <c r="N313" s="92"/>
      <c r="O313" s="92"/>
      <c r="P313" s="92"/>
      <c r="Q313" s="92"/>
      <c r="R313" s="92"/>
      <c r="S313" s="92"/>
    </row>
    <row r="314" spans="1:19">
      <c r="A314" s="157"/>
      <c r="B314" s="92"/>
      <c r="C314" s="92"/>
      <c r="D314" s="92"/>
      <c r="E314" s="92"/>
      <c r="F314" s="92"/>
      <c r="G314" s="92"/>
      <c r="H314" s="92"/>
      <c r="I314" s="92"/>
      <c r="J314" s="92"/>
      <c r="K314" s="92"/>
      <c r="L314" s="92"/>
      <c r="M314" s="92"/>
      <c r="N314" s="92"/>
      <c r="O314" s="92"/>
      <c r="P314" s="92"/>
      <c r="Q314" s="92"/>
      <c r="R314" s="92"/>
      <c r="S314" s="92"/>
    </row>
    <row r="315" spans="1:19">
      <c r="A315" s="157"/>
      <c r="B315" s="92"/>
      <c r="C315" s="92"/>
      <c r="D315" s="92"/>
      <c r="E315" s="92"/>
      <c r="F315" s="92"/>
      <c r="G315" s="92"/>
      <c r="H315" s="92"/>
      <c r="I315" s="92"/>
      <c r="J315" s="92"/>
      <c r="K315" s="92"/>
      <c r="L315" s="92"/>
      <c r="M315" s="92"/>
      <c r="N315" s="92"/>
      <c r="O315" s="92"/>
      <c r="P315" s="92"/>
      <c r="Q315" s="92"/>
      <c r="R315" s="92"/>
      <c r="S315" s="92"/>
    </row>
    <row r="316" spans="1:19">
      <c r="A316" s="157"/>
      <c r="B316" s="92"/>
      <c r="C316" s="92"/>
      <c r="D316" s="92"/>
      <c r="E316" s="92"/>
      <c r="F316" s="92"/>
      <c r="G316" s="92"/>
      <c r="H316" s="92"/>
      <c r="I316" s="92"/>
      <c r="J316" s="92"/>
      <c r="K316" s="92"/>
      <c r="L316" s="92"/>
      <c r="M316" s="92"/>
      <c r="N316" s="92"/>
      <c r="O316" s="92"/>
      <c r="P316" s="92"/>
      <c r="Q316" s="92"/>
      <c r="R316" s="92"/>
      <c r="S316" s="92"/>
    </row>
    <row r="317" spans="1:19">
      <c r="A317" s="157"/>
      <c r="B317" s="92"/>
      <c r="C317" s="92"/>
      <c r="D317" s="92"/>
      <c r="E317" s="92"/>
      <c r="F317" s="92"/>
      <c r="G317" s="92"/>
      <c r="H317" s="92"/>
      <c r="I317" s="92"/>
      <c r="J317" s="92"/>
      <c r="K317" s="92"/>
      <c r="L317" s="92"/>
      <c r="M317" s="92"/>
      <c r="N317" s="92"/>
      <c r="O317" s="92"/>
      <c r="P317" s="92"/>
      <c r="Q317" s="92"/>
      <c r="R317" s="92"/>
      <c r="S317" s="92"/>
    </row>
    <row r="318" spans="1:19">
      <c r="A318" s="157"/>
      <c r="B318" s="92"/>
      <c r="C318" s="92"/>
      <c r="D318" s="92"/>
      <c r="E318" s="92"/>
      <c r="F318" s="92"/>
      <c r="G318" s="92"/>
      <c r="H318" s="92"/>
      <c r="I318" s="92"/>
      <c r="J318" s="92"/>
      <c r="K318" s="92"/>
      <c r="L318" s="92"/>
      <c r="M318" s="92"/>
      <c r="N318" s="92"/>
      <c r="O318" s="92"/>
      <c r="P318" s="92"/>
      <c r="Q318" s="92"/>
      <c r="R318" s="92"/>
      <c r="S318" s="92"/>
    </row>
    <row r="319" spans="1:19">
      <c r="A319" s="157"/>
      <c r="B319" s="92"/>
      <c r="C319" s="92"/>
      <c r="D319" s="92"/>
      <c r="E319" s="92"/>
      <c r="F319" s="92"/>
      <c r="G319" s="92"/>
      <c r="H319" s="92"/>
      <c r="I319" s="92"/>
      <c r="J319" s="92"/>
      <c r="K319" s="92"/>
      <c r="L319" s="92"/>
      <c r="M319" s="92"/>
      <c r="N319" s="92"/>
      <c r="O319" s="92"/>
      <c r="P319" s="92"/>
      <c r="Q319" s="92"/>
      <c r="R319" s="92"/>
      <c r="S319" s="92"/>
    </row>
    <row r="320" spans="1:19">
      <c r="A320" s="157"/>
      <c r="B320" s="92"/>
      <c r="C320" s="92"/>
      <c r="D320" s="92"/>
      <c r="E320" s="92"/>
      <c r="F320" s="92"/>
      <c r="G320" s="92"/>
      <c r="H320" s="92"/>
      <c r="I320" s="92"/>
      <c r="J320" s="92"/>
      <c r="K320" s="92"/>
      <c r="L320" s="92"/>
      <c r="M320" s="92"/>
      <c r="N320" s="92"/>
      <c r="O320" s="92"/>
      <c r="P320" s="92"/>
      <c r="Q320" s="92"/>
      <c r="R320" s="92"/>
      <c r="S320" s="92"/>
    </row>
    <row r="321" spans="1:19">
      <c r="A321" s="157"/>
      <c r="B321" s="92"/>
      <c r="C321" s="92"/>
      <c r="D321" s="92"/>
      <c r="E321" s="92"/>
      <c r="F321" s="92"/>
      <c r="G321" s="92"/>
      <c r="H321" s="92"/>
      <c r="I321" s="92"/>
      <c r="J321" s="92"/>
      <c r="K321" s="92"/>
      <c r="L321" s="92"/>
      <c r="M321" s="92"/>
      <c r="N321" s="92"/>
      <c r="O321" s="92"/>
      <c r="P321" s="92"/>
      <c r="Q321" s="92"/>
      <c r="R321" s="92"/>
      <c r="S321" s="92"/>
    </row>
    <row r="322" spans="1:19">
      <c r="A322" s="157"/>
      <c r="B322" s="92"/>
      <c r="C322" s="92"/>
      <c r="D322" s="92"/>
      <c r="E322" s="92"/>
      <c r="F322" s="92"/>
      <c r="G322" s="92"/>
      <c r="H322" s="92"/>
      <c r="I322" s="92"/>
      <c r="J322" s="92"/>
      <c r="K322" s="92"/>
      <c r="L322" s="92"/>
      <c r="M322" s="92"/>
      <c r="N322" s="92"/>
      <c r="O322" s="92"/>
      <c r="P322" s="92"/>
      <c r="Q322" s="92"/>
      <c r="R322" s="92"/>
      <c r="S322" s="92"/>
    </row>
    <row r="323" spans="1:19">
      <c r="A323" s="157"/>
      <c r="B323" s="92"/>
      <c r="C323" s="92"/>
      <c r="D323" s="92"/>
      <c r="E323" s="92"/>
      <c r="F323" s="92"/>
      <c r="G323" s="92"/>
      <c r="H323" s="92"/>
      <c r="I323" s="92"/>
      <c r="J323" s="92"/>
      <c r="K323" s="92"/>
      <c r="L323" s="92"/>
      <c r="M323" s="92"/>
      <c r="N323" s="92"/>
      <c r="O323" s="92"/>
      <c r="P323" s="92"/>
      <c r="Q323" s="92"/>
      <c r="R323" s="92"/>
      <c r="S323" s="92"/>
    </row>
    <row r="324" spans="1:19">
      <c r="A324" s="157"/>
      <c r="B324" s="92"/>
      <c r="C324" s="92"/>
      <c r="D324" s="92"/>
      <c r="E324" s="92"/>
      <c r="F324" s="92"/>
      <c r="G324" s="92"/>
      <c r="H324" s="92"/>
      <c r="I324" s="92"/>
      <c r="J324" s="92"/>
      <c r="K324" s="92"/>
      <c r="L324" s="92"/>
      <c r="M324" s="92"/>
      <c r="N324" s="92"/>
      <c r="O324" s="92"/>
      <c r="P324" s="92"/>
      <c r="Q324" s="92"/>
      <c r="R324" s="92"/>
      <c r="S324" s="92"/>
    </row>
    <row r="325" spans="1:19">
      <c r="A325" s="157"/>
      <c r="B325" s="92"/>
      <c r="C325" s="92"/>
      <c r="D325" s="92"/>
      <c r="E325" s="92"/>
      <c r="F325" s="92"/>
      <c r="G325" s="92"/>
      <c r="H325" s="92"/>
      <c r="I325" s="92"/>
      <c r="J325" s="92"/>
      <c r="K325" s="92"/>
      <c r="L325" s="92"/>
      <c r="M325" s="92"/>
      <c r="N325" s="92"/>
      <c r="O325" s="92"/>
      <c r="P325" s="92"/>
      <c r="Q325" s="92"/>
      <c r="R325" s="92"/>
      <c r="S325" s="92"/>
    </row>
    <row r="326" spans="1:19">
      <c r="A326" s="157"/>
      <c r="B326" s="92"/>
      <c r="C326" s="92"/>
      <c r="D326" s="92"/>
      <c r="E326" s="92"/>
      <c r="F326" s="92"/>
      <c r="G326" s="92"/>
      <c r="H326" s="92"/>
      <c r="I326" s="92"/>
      <c r="J326" s="92"/>
      <c r="K326" s="92"/>
      <c r="L326" s="92"/>
      <c r="M326" s="92"/>
      <c r="N326" s="92"/>
      <c r="O326" s="92"/>
      <c r="P326" s="92"/>
      <c r="Q326" s="92"/>
      <c r="R326" s="92"/>
      <c r="S326" s="92"/>
    </row>
    <row r="327" spans="1:19">
      <c r="A327" s="157"/>
      <c r="B327" s="92"/>
      <c r="C327" s="92"/>
      <c r="D327" s="92"/>
      <c r="E327" s="92"/>
      <c r="F327" s="92"/>
      <c r="G327" s="92"/>
      <c r="H327" s="92"/>
      <c r="I327" s="92"/>
      <c r="J327" s="92"/>
      <c r="K327" s="92"/>
      <c r="L327" s="92"/>
      <c r="M327" s="92"/>
      <c r="N327" s="92"/>
      <c r="O327" s="92"/>
      <c r="P327" s="92"/>
      <c r="Q327" s="92"/>
      <c r="R327" s="92"/>
      <c r="S327" s="92"/>
    </row>
    <row r="328" spans="1:19">
      <c r="A328" s="157"/>
      <c r="B328" s="92"/>
      <c r="C328" s="92"/>
      <c r="D328" s="92"/>
      <c r="E328" s="92"/>
      <c r="F328" s="92"/>
      <c r="G328" s="92"/>
      <c r="H328" s="92"/>
      <c r="I328" s="92"/>
      <c r="J328" s="92"/>
      <c r="K328" s="92"/>
      <c r="L328" s="92"/>
      <c r="M328" s="92"/>
      <c r="N328" s="92"/>
      <c r="O328" s="92"/>
      <c r="P328" s="92"/>
      <c r="Q328" s="92"/>
      <c r="R328" s="92"/>
      <c r="S328" s="92"/>
    </row>
    <row r="329" spans="1:19">
      <c r="A329" s="157"/>
      <c r="B329" s="92"/>
      <c r="C329" s="92"/>
      <c r="D329" s="92"/>
      <c r="E329" s="92"/>
      <c r="F329" s="92"/>
      <c r="G329" s="92"/>
      <c r="H329" s="92"/>
      <c r="I329" s="92"/>
      <c r="J329" s="92"/>
      <c r="K329" s="92"/>
      <c r="L329" s="92"/>
      <c r="M329" s="92"/>
      <c r="N329" s="92"/>
      <c r="O329" s="92"/>
      <c r="P329" s="92"/>
      <c r="Q329" s="92"/>
      <c r="R329" s="92"/>
      <c r="S329" s="92"/>
    </row>
    <row r="330" spans="1:19">
      <c r="A330" s="157"/>
      <c r="B330" s="92"/>
      <c r="C330" s="92"/>
      <c r="D330" s="92"/>
      <c r="E330" s="92"/>
      <c r="F330" s="92"/>
      <c r="G330" s="92"/>
      <c r="H330" s="92"/>
      <c r="I330" s="92"/>
      <c r="J330" s="92"/>
      <c r="K330" s="92"/>
      <c r="L330" s="92"/>
      <c r="M330" s="92"/>
      <c r="N330" s="92"/>
      <c r="O330" s="92"/>
      <c r="P330" s="92"/>
      <c r="Q330" s="92"/>
      <c r="R330" s="92"/>
      <c r="S330" s="92"/>
    </row>
    <row r="331" spans="1:19">
      <c r="A331" s="157"/>
      <c r="B331" s="92"/>
      <c r="C331" s="92"/>
      <c r="D331" s="92"/>
      <c r="E331" s="92"/>
      <c r="F331" s="92"/>
      <c r="G331" s="92"/>
      <c r="H331" s="92"/>
      <c r="I331" s="92"/>
      <c r="J331" s="92"/>
      <c r="K331" s="92"/>
      <c r="L331" s="92"/>
      <c r="M331" s="92"/>
      <c r="N331" s="92"/>
      <c r="O331" s="92"/>
      <c r="P331" s="92"/>
      <c r="Q331" s="92"/>
      <c r="R331" s="92"/>
      <c r="S331" s="92"/>
    </row>
    <row r="332" spans="1:19">
      <c r="A332" s="157"/>
      <c r="B332" s="92"/>
      <c r="C332" s="92"/>
      <c r="D332" s="92"/>
      <c r="E332" s="92"/>
      <c r="F332" s="92"/>
      <c r="G332" s="92"/>
      <c r="H332" s="92"/>
      <c r="I332" s="92"/>
      <c r="J332" s="92"/>
      <c r="K332" s="92"/>
      <c r="L332" s="92"/>
      <c r="M332" s="92"/>
      <c r="N332" s="92"/>
      <c r="O332" s="92"/>
      <c r="P332" s="92"/>
      <c r="Q332" s="92"/>
      <c r="R332" s="92"/>
      <c r="S332" s="92"/>
    </row>
    <row r="333" spans="1:19">
      <c r="A333" s="157"/>
      <c r="B333" s="92"/>
      <c r="C333" s="92"/>
      <c r="D333" s="92"/>
      <c r="E333" s="92"/>
      <c r="F333" s="92"/>
      <c r="G333" s="92"/>
      <c r="H333" s="92"/>
      <c r="I333" s="92"/>
      <c r="J333" s="92"/>
      <c r="K333" s="92"/>
      <c r="L333" s="92"/>
      <c r="M333" s="92"/>
      <c r="N333" s="92"/>
      <c r="O333" s="92"/>
      <c r="P333" s="92"/>
      <c r="Q333" s="92"/>
      <c r="R333" s="92"/>
      <c r="S333" s="92"/>
    </row>
    <row r="334" spans="1:19">
      <c r="A334" s="157"/>
      <c r="B334" s="92"/>
      <c r="C334" s="92"/>
      <c r="D334" s="92"/>
      <c r="E334" s="92"/>
      <c r="F334" s="92"/>
      <c r="G334" s="92"/>
      <c r="H334" s="92"/>
      <c r="I334" s="92"/>
      <c r="J334" s="92"/>
      <c r="K334" s="92"/>
      <c r="L334" s="92"/>
      <c r="M334" s="92"/>
      <c r="N334" s="92"/>
      <c r="O334" s="92"/>
      <c r="P334" s="92"/>
      <c r="Q334" s="92"/>
      <c r="R334" s="92"/>
      <c r="S334" s="92"/>
    </row>
    <row r="335" spans="1:19">
      <c r="A335" s="157"/>
      <c r="B335" s="92"/>
      <c r="C335" s="92"/>
      <c r="D335" s="92"/>
      <c r="E335" s="92"/>
      <c r="F335" s="92"/>
      <c r="G335" s="92"/>
      <c r="H335" s="92"/>
      <c r="I335" s="92"/>
      <c r="J335" s="92"/>
      <c r="K335" s="92"/>
      <c r="L335" s="92"/>
      <c r="M335" s="92"/>
      <c r="N335" s="92"/>
      <c r="O335" s="92"/>
      <c r="P335" s="92"/>
      <c r="Q335" s="92"/>
      <c r="R335" s="92"/>
      <c r="S335" s="92"/>
    </row>
    <row r="336" spans="1:19">
      <c r="A336" s="157"/>
      <c r="B336" s="92"/>
      <c r="C336" s="92"/>
      <c r="D336" s="92"/>
      <c r="E336" s="92"/>
      <c r="F336" s="92"/>
      <c r="G336" s="92"/>
      <c r="H336" s="92"/>
      <c r="I336" s="92"/>
      <c r="J336" s="92"/>
      <c r="K336" s="92"/>
      <c r="L336" s="92"/>
      <c r="M336" s="92"/>
      <c r="N336" s="92"/>
      <c r="O336" s="92"/>
      <c r="P336" s="92"/>
      <c r="Q336" s="92"/>
      <c r="R336" s="92"/>
      <c r="S336" s="92"/>
    </row>
    <row r="337" spans="1:19">
      <c r="A337" s="157"/>
      <c r="B337" s="92"/>
      <c r="C337" s="92"/>
      <c r="D337" s="92"/>
      <c r="E337" s="92"/>
      <c r="F337" s="92"/>
      <c r="G337" s="92"/>
      <c r="H337" s="92"/>
      <c r="I337" s="92"/>
      <c r="J337" s="92"/>
      <c r="K337" s="92"/>
      <c r="L337" s="92"/>
      <c r="M337" s="92"/>
      <c r="N337" s="92"/>
      <c r="O337" s="92"/>
      <c r="P337" s="92"/>
      <c r="Q337" s="92"/>
      <c r="R337" s="92"/>
      <c r="S337" s="92"/>
    </row>
    <row r="338" spans="1:19">
      <c r="A338" s="157"/>
      <c r="B338" s="92"/>
      <c r="C338" s="92"/>
      <c r="D338" s="92"/>
      <c r="E338" s="92"/>
      <c r="F338" s="92"/>
      <c r="G338" s="92"/>
      <c r="H338" s="92"/>
      <c r="I338" s="92"/>
      <c r="J338" s="92"/>
      <c r="K338" s="92"/>
      <c r="L338" s="92"/>
      <c r="M338" s="92"/>
      <c r="N338" s="92"/>
      <c r="O338" s="92"/>
      <c r="P338" s="92"/>
      <c r="Q338" s="92"/>
      <c r="R338" s="92"/>
      <c r="S338" s="92"/>
    </row>
    <row r="339" spans="1:19">
      <c r="A339" s="157"/>
      <c r="B339" s="92"/>
      <c r="C339" s="92"/>
      <c r="D339" s="92"/>
      <c r="E339" s="92"/>
      <c r="F339" s="92"/>
      <c r="G339" s="92"/>
      <c r="H339" s="92"/>
      <c r="I339" s="92"/>
      <c r="J339" s="92"/>
      <c r="K339" s="92"/>
      <c r="L339" s="92"/>
      <c r="M339" s="92"/>
      <c r="N339" s="92"/>
      <c r="O339" s="92"/>
      <c r="P339" s="92"/>
      <c r="Q339" s="92"/>
      <c r="R339" s="92"/>
      <c r="S339" s="92"/>
    </row>
    <row r="340" spans="1:19">
      <c r="A340" s="157"/>
      <c r="B340" s="92"/>
      <c r="C340" s="92"/>
      <c r="D340" s="92"/>
      <c r="E340" s="92"/>
      <c r="F340" s="92"/>
      <c r="G340" s="92"/>
      <c r="H340" s="92"/>
      <c r="I340" s="92"/>
      <c r="J340" s="92"/>
      <c r="K340" s="92"/>
      <c r="L340" s="92"/>
      <c r="M340" s="92"/>
      <c r="N340" s="92"/>
      <c r="O340" s="92"/>
      <c r="P340" s="92"/>
      <c r="Q340" s="92"/>
      <c r="R340" s="92"/>
      <c r="S340" s="92"/>
    </row>
    <row r="341" spans="1:19">
      <c r="A341" s="157"/>
      <c r="B341" s="92"/>
      <c r="C341" s="92"/>
      <c r="D341" s="92"/>
      <c r="E341" s="92"/>
      <c r="F341" s="92"/>
      <c r="G341" s="92"/>
      <c r="H341" s="92"/>
      <c r="I341" s="92"/>
      <c r="J341" s="92"/>
      <c r="K341" s="92"/>
      <c r="L341" s="92"/>
      <c r="M341" s="92"/>
      <c r="N341" s="92"/>
      <c r="O341" s="92"/>
      <c r="P341" s="92"/>
      <c r="Q341" s="92"/>
      <c r="R341" s="92"/>
      <c r="S341" s="92"/>
    </row>
    <row r="342" spans="1:19">
      <c r="A342" s="157"/>
      <c r="B342" s="92"/>
      <c r="C342" s="92"/>
      <c r="D342" s="92"/>
      <c r="E342" s="92"/>
      <c r="F342" s="92"/>
      <c r="G342" s="92"/>
      <c r="H342" s="92"/>
      <c r="I342" s="92"/>
      <c r="J342" s="92"/>
      <c r="K342" s="92"/>
      <c r="L342" s="92"/>
      <c r="M342" s="92"/>
      <c r="N342" s="92"/>
      <c r="O342" s="92"/>
      <c r="P342" s="92"/>
      <c r="Q342" s="92"/>
      <c r="R342" s="92"/>
      <c r="S342" s="92"/>
    </row>
    <row r="343" spans="1:19">
      <c r="A343" s="157"/>
      <c r="B343" s="92"/>
      <c r="C343" s="92"/>
      <c r="D343" s="92"/>
      <c r="E343" s="92"/>
      <c r="F343" s="92"/>
      <c r="G343" s="92"/>
      <c r="H343" s="92"/>
      <c r="I343" s="92"/>
      <c r="J343" s="92"/>
      <c r="K343" s="92"/>
      <c r="L343" s="92"/>
      <c r="M343" s="92"/>
      <c r="N343" s="92"/>
      <c r="O343" s="92"/>
      <c r="P343" s="92"/>
      <c r="Q343" s="92"/>
      <c r="R343" s="92"/>
      <c r="S343" s="92"/>
    </row>
    <row r="344" spans="1:19">
      <c r="A344" s="157"/>
      <c r="B344" s="92"/>
      <c r="C344" s="92"/>
      <c r="D344" s="92"/>
      <c r="E344" s="92"/>
      <c r="F344" s="92"/>
      <c r="G344" s="92"/>
      <c r="H344" s="92"/>
      <c r="I344" s="92"/>
      <c r="J344" s="92"/>
      <c r="K344" s="92"/>
      <c r="L344" s="92"/>
      <c r="M344" s="92"/>
      <c r="N344" s="92"/>
      <c r="O344" s="92"/>
      <c r="P344" s="92"/>
      <c r="Q344" s="92"/>
      <c r="R344" s="92"/>
      <c r="S344" s="92"/>
    </row>
    <row r="345" spans="1:19">
      <c r="A345" s="157"/>
      <c r="B345" s="92"/>
      <c r="C345" s="92"/>
      <c r="D345" s="92"/>
      <c r="E345" s="92"/>
      <c r="F345" s="92"/>
      <c r="G345" s="92"/>
      <c r="H345" s="92"/>
      <c r="I345" s="92"/>
      <c r="J345" s="92"/>
      <c r="K345" s="92"/>
      <c r="L345" s="92"/>
      <c r="M345" s="92"/>
      <c r="N345" s="92"/>
      <c r="O345" s="92"/>
      <c r="P345" s="92"/>
      <c r="Q345" s="92"/>
      <c r="R345" s="92"/>
      <c r="S345" s="92"/>
    </row>
    <row r="346" spans="1:19">
      <c r="A346" s="157"/>
      <c r="B346" s="92"/>
      <c r="C346" s="92"/>
      <c r="D346" s="92"/>
      <c r="E346" s="92"/>
      <c r="F346" s="92"/>
      <c r="G346" s="92"/>
      <c r="H346" s="92"/>
      <c r="I346" s="92"/>
      <c r="J346" s="92"/>
      <c r="K346" s="92"/>
      <c r="L346" s="92"/>
      <c r="M346" s="92"/>
      <c r="N346" s="92"/>
      <c r="O346" s="92"/>
      <c r="P346" s="92"/>
      <c r="Q346" s="92"/>
      <c r="R346" s="92"/>
      <c r="S346" s="92"/>
    </row>
    <row r="347" spans="1:19">
      <c r="A347" s="157"/>
      <c r="B347" s="92"/>
      <c r="C347" s="92"/>
      <c r="D347" s="92"/>
      <c r="E347" s="92"/>
      <c r="F347" s="92"/>
      <c r="G347" s="92"/>
      <c r="H347" s="92"/>
      <c r="I347" s="92"/>
      <c r="J347" s="92"/>
      <c r="K347" s="92"/>
      <c r="L347" s="92"/>
      <c r="M347" s="92"/>
      <c r="N347" s="92"/>
      <c r="O347" s="92"/>
      <c r="P347" s="92"/>
      <c r="Q347" s="92"/>
      <c r="R347" s="92"/>
      <c r="S347" s="92"/>
    </row>
    <row r="348" spans="1:19">
      <c r="A348" s="157"/>
      <c r="B348" s="92"/>
      <c r="C348" s="92"/>
      <c r="D348" s="92"/>
      <c r="E348" s="92"/>
      <c r="F348" s="92"/>
      <c r="G348" s="92"/>
      <c r="H348" s="92"/>
      <c r="I348" s="92"/>
      <c r="J348" s="92"/>
      <c r="K348" s="92"/>
      <c r="L348" s="92"/>
      <c r="M348" s="92"/>
      <c r="N348" s="92"/>
      <c r="O348" s="92"/>
      <c r="P348" s="92"/>
      <c r="Q348" s="92"/>
      <c r="R348" s="92"/>
      <c r="S348" s="92"/>
    </row>
    <row r="349" spans="1:19">
      <c r="A349" s="157"/>
      <c r="B349" s="92"/>
      <c r="C349" s="92"/>
      <c r="D349" s="92"/>
      <c r="E349" s="92"/>
      <c r="F349" s="92"/>
      <c r="G349" s="92"/>
      <c r="H349" s="92"/>
      <c r="I349" s="92"/>
      <c r="J349" s="92"/>
      <c r="K349" s="92"/>
      <c r="L349" s="92"/>
      <c r="M349" s="92"/>
      <c r="N349" s="92"/>
      <c r="O349" s="92"/>
      <c r="P349" s="92"/>
      <c r="Q349" s="92"/>
      <c r="R349" s="92"/>
      <c r="S349" s="92"/>
    </row>
    <row r="350" spans="1:19">
      <c r="A350" s="157"/>
      <c r="B350" s="92"/>
      <c r="C350" s="92"/>
      <c r="D350" s="92"/>
      <c r="E350" s="92"/>
      <c r="F350" s="92"/>
      <c r="G350" s="92"/>
      <c r="H350" s="92"/>
      <c r="I350" s="92"/>
      <c r="J350" s="92"/>
      <c r="K350" s="92"/>
      <c r="L350" s="92"/>
      <c r="M350" s="92"/>
      <c r="N350" s="92"/>
      <c r="O350" s="92"/>
      <c r="P350" s="92"/>
      <c r="Q350" s="92"/>
      <c r="R350" s="92"/>
      <c r="S350" s="92"/>
    </row>
    <row r="351" spans="1:19">
      <c r="A351" s="157"/>
      <c r="B351" s="92"/>
      <c r="C351" s="92"/>
      <c r="D351" s="92"/>
      <c r="E351" s="92"/>
      <c r="F351" s="92"/>
      <c r="G351" s="92"/>
      <c r="H351" s="92"/>
      <c r="I351" s="92"/>
      <c r="J351" s="92"/>
      <c r="K351" s="92"/>
      <c r="L351" s="92"/>
      <c r="M351" s="92"/>
      <c r="N351" s="92"/>
      <c r="O351" s="92"/>
      <c r="P351" s="92"/>
      <c r="Q351" s="92"/>
      <c r="R351" s="92"/>
      <c r="S351" s="92"/>
    </row>
    <row r="352" spans="1:19">
      <c r="A352" s="157"/>
      <c r="B352" s="92"/>
      <c r="C352" s="92"/>
      <c r="D352" s="92"/>
      <c r="E352" s="92"/>
      <c r="F352" s="92"/>
      <c r="G352" s="92"/>
      <c r="H352" s="92"/>
      <c r="I352" s="92"/>
      <c r="J352" s="92"/>
      <c r="K352" s="92"/>
      <c r="L352" s="92"/>
      <c r="M352" s="92"/>
      <c r="N352" s="92"/>
      <c r="O352" s="92"/>
      <c r="P352" s="92"/>
      <c r="Q352" s="92"/>
      <c r="R352" s="92"/>
      <c r="S352" s="92"/>
    </row>
    <row r="353" spans="1:19">
      <c r="A353" s="157"/>
      <c r="B353" s="92"/>
      <c r="C353" s="92"/>
      <c r="D353" s="92"/>
      <c r="E353" s="92"/>
      <c r="F353" s="92"/>
      <c r="G353" s="92"/>
      <c r="H353" s="92"/>
      <c r="I353" s="92"/>
      <c r="J353" s="92"/>
      <c r="K353" s="92"/>
      <c r="L353" s="92"/>
      <c r="M353" s="92"/>
      <c r="N353" s="92"/>
      <c r="O353" s="92"/>
      <c r="P353" s="92"/>
      <c r="Q353" s="92"/>
      <c r="R353" s="92"/>
      <c r="S353" s="92"/>
    </row>
    <row r="354" spans="1:19">
      <c r="A354" s="157"/>
      <c r="B354" s="92"/>
      <c r="C354" s="92"/>
      <c r="D354" s="92"/>
      <c r="E354" s="92"/>
      <c r="F354" s="92"/>
      <c r="G354" s="92"/>
      <c r="H354" s="92"/>
      <c r="I354" s="92"/>
      <c r="J354" s="92"/>
      <c r="K354" s="92"/>
      <c r="L354" s="92"/>
      <c r="M354" s="92"/>
      <c r="N354" s="92"/>
      <c r="O354" s="92"/>
      <c r="P354" s="92"/>
      <c r="Q354" s="92"/>
      <c r="R354" s="92"/>
      <c r="S354" s="92"/>
    </row>
    <row r="355" spans="1:19">
      <c r="A355" s="157"/>
      <c r="B355" s="92"/>
      <c r="C355" s="92"/>
      <c r="D355" s="92"/>
      <c r="E355" s="92"/>
      <c r="F355" s="92"/>
      <c r="G355" s="92"/>
      <c r="H355" s="92"/>
      <c r="I355" s="92"/>
      <c r="J355" s="92"/>
      <c r="K355" s="92"/>
      <c r="L355" s="92"/>
      <c r="M355" s="92"/>
      <c r="N355" s="92"/>
      <c r="O355" s="92"/>
      <c r="P355" s="92"/>
      <c r="Q355" s="92"/>
      <c r="R355" s="92"/>
      <c r="S355" s="92"/>
    </row>
    <row r="356" spans="1:19">
      <c r="A356" s="157"/>
      <c r="B356" s="92"/>
      <c r="C356" s="92"/>
      <c r="D356" s="92"/>
      <c r="E356" s="92"/>
      <c r="F356" s="92"/>
      <c r="G356" s="92"/>
      <c r="H356" s="92"/>
      <c r="I356" s="92"/>
      <c r="J356" s="92"/>
      <c r="K356" s="92"/>
      <c r="L356" s="92"/>
      <c r="M356" s="92"/>
      <c r="N356" s="92"/>
      <c r="O356" s="92"/>
      <c r="P356" s="92"/>
      <c r="Q356" s="92"/>
      <c r="R356" s="92"/>
      <c r="S356" s="92"/>
    </row>
    <row r="357" spans="1:19">
      <c r="A357" s="157"/>
      <c r="B357" s="92"/>
      <c r="C357" s="92"/>
      <c r="D357" s="92"/>
      <c r="E357" s="92"/>
      <c r="F357" s="92"/>
      <c r="G357" s="92"/>
      <c r="H357" s="92"/>
      <c r="I357" s="92"/>
      <c r="J357" s="92"/>
      <c r="K357" s="92"/>
      <c r="L357" s="92"/>
      <c r="M357" s="92"/>
      <c r="N357" s="92"/>
      <c r="O357" s="92"/>
      <c r="P357" s="92"/>
      <c r="Q357" s="92"/>
      <c r="R357" s="92"/>
      <c r="S357" s="92"/>
    </row>
    <row r="358" spans="1:19">
      <c r="A358" s="157"/>
      <c r="B358" s="92"/>
      <c r="C358" s="92"/>
      <c r="D358" s="92"/>
      <c r="E358" s="92"/>
      <c r="F358" s="92"/>
      <c r="G358" s="92"/>
      <c r="H358" s="92"/>
      <c r="I358" s="92"/>
      <c r="J358" s="92"/>
      <c r="K358" s="92"/>
      <c r="L358" s="92"/>
      <c r="M358" s="92"/>
      <c r="N358" s="92"/>
      <c r="O358" s="92"/>
      <c r="P358" s="92"/>
      <c r="Q358" s="92"/>
      <c r="R358" s="92"/>
      <c r="S358" s="92"/>
    </row>
    <row r="359" spans="1:19">
      <c r="A359" s="157"/>
      <c r="B359" s="92"/>
      <c r="C359" s="92"/>
      <c r="D359" s="92"/>
      <c r="E359" s="92"/>
      <c r="F359" s="92"/>
      <c r="G359" s="92"/>
      <c r="H359" s="92"/>
      <c r="I359" s="92"/>
      <c r="J359" s="92"/>
      <c r="K359" s="92"/>
      <c r="L359" s="92"/>
      <c r="M359" s="92"/>
      <c r="N359" s="92"/>
      <c r="O359" s="92"/>
      <c r="P359" s="92"/>
      <c r="Q359" s="92"/>
      <c r="R359" s="92"/>
      <c r="S359" s="92"/>
    </row>
    <row r="360" spans="1:19">
      <c r="A360" s="157"/>
      <c r="B360" s="92"/>
      <c r="C360" s="92"/>
      <c r="D360" s="92"/>
      <c r="E360" s="92"/>
      <c r="F360" s="92"/>
      <c r="G360" s="92"/>
      <c r="H360" s="92"/>
      <c r="I360" s="92"/>
      <c r="J360" s="92"/>
      <c r="K360" s="92"/>
      <c r="L360" s="92"/>
      <c r="M360" s="92"/>
      <c r="N360" s="92"/>
      <c r="O360" s="92"/>
      <c r="P360" s="92"/>
      <c r="Q360" s="92"/>
      <c r="R360" s="92"/>
      <c r="S360" s="92"/>
    </row>
    <row r="361" spans="1:19">
      <c r="A361" s="157"/>
      <c r="B361" s="92"/>
      <c r="C361" s="92"/>
      <c r="D361" s="92"/>
      <c r="E361" s="92"/>
      <c r="F361" s="92"/>
      <c r="G361" s="92"/>
      <c r="H361" s="92"/>
      <c r="I361" s="92"/>
      <c r="J361" s="92"/>
      <c r="K361" s="92"/>
      <c r="L361" s="92"/>
      <c r="M361" s="92"/>
      <c r="N361" s="92"/>
      <c r="O361" s="92"/>
      <c r="P361" s="92"/>
      <c r="Q361" s="92"/>
      <c r="R361" s="92"/>
      <c r="S361" s="92"/>
    </row>
    <row r="362" spans="1:19">
      <c r="A362" s="157"/>
      <c r="B362" s="92"/>
      <c r="C362" s="92"/>
      <c r="D362" s="92"/>
      <c r="E362" s="92"/>
      <c r="F362" s="92"/>
      <c r="G362" s="92"/>
      <c r="H362" s="92"/>
      <c r="I362" s="92"/>
      <c r="J362" s="92"/>
      <c r="K362" s="92"/>
      <c r="L362" s="92"/>
      <c r="M362" s="92"/>
      <c r="N362" s="92"/>
      <c r="O362" s="92"/>
      <c r="P362" s="92"/>
      <c r="Q362" s="92"/>
      <c r="R362" s="92"/>
      <c r="S362" s="92"/>
    </row>
    <row r="363" spans="1:19">
      <c r="A363" s="157"/>
      <c r="B363" s="92"/>
      <c r="C363" s="92"/>
      <c r="D363" s="92"/>
      <c r="E363" s="92"/>
      <c r="F363" s="92"/>
      <c r="G363" s="92"/>
      <c r="H363" s="92"/>
      <c r="I363" s="92"/>
      <c r="J363" s="92"/>
      <c r="K363" s="92"/>
      <c r="L363" s="92"/>
      <c r="M363" s="92"/>
      <c r="N363" s="92"/>
      <c r="O363" s="92"/>
      <c r="P363" s="92"/>
      <c r="Q363" s="92"/>
      <c r="R363" s="92"/>
      <c r="S363" s="92"/>
    </row>
    <row r="364" spans="1:19">
      <c r="A364" s="157"/>
      <c r="B364" s="92"/>
      <c r="C364" s="92"/>
      <c r="D364" s="92"/>
      <c r="E364" s="92"/>
      <c r="F364" s="92"/>
      <c r="G364" s="92"/>
      <c r="H364" s="92"/>
      <c r="I364" s="92"/>
      <c r="J364" s="92"/>
      <c r="K364" s="92"/>
      <c r="L364" s="92"/>
      <c r="M364" s="92"/>
      <c r="N364" s="92"/>
      <c r="O364" s="92"/>
      <c r="P364" s="92"/>
      <c r="Q364" s="92"/>
      <c r="R364" s="92"/>
      <c r="S364" s="92"/>
    </row>
    <row r="365" spans="1:19">
      <c r="A365" s="157"/>
      <c r="B365" s="92"/>
      <c r="C365" s="92"/>
      <c r="D365" s="92"/>
      <c r="E365" s="92"/>
      <c r="F365" s="92"/>
      <c r="G365" s="92"/>
      <c r="H365" s="92"/>
      <c r="I365" s="92"/>
      <c r="J365" s="92"/>
      <c r="K365" s="92"/>
      <c r="L365" s="92"/>
      <c r="M365" s="92"/>
      <c r="N365" s="92"/>
      <c r="O365" s="92"/>
      <c r="P365" s="92"/>
      <c r="Q365" s="92"/>
      <c r="R365" s="92"/>
      <c r="S365" s="92"/>
    </row>
    <row r="366" spans="1:19">
      <c r="A366" s="157"/>
      <c r="B366" s="92"/>
      <c r="C366" s="92"/>
      <c r="D366" s="92"/>
      <c r="E366" s="92"/>
      <c r="F366" s="92"/>
      <c r="G366" s="92"/>
      <c r="H366" s="92"/>
      <c r="I366" s="92"/>
      <c r="J366" s="92"/>
      <c r="K366" s="92"/>
      <c r="L366" s="92"/>
      <c r="M366" s="92"/>
      <c r="N366" s="92"/>
      <c r="O366" s="92"/>
      <c r="P366" s="92"/>
      <c r="Q366" s="92"/>
      <c r="R366" s="92"/>
      <c r="S366" s="92"/>
    </row>
    <row r="367" spans="1:19">
      <c r="A367" s="157"/>
      <c r="B367" s="92"/>
      <c r="C367" s="92"/>
      <c r="D367" s="92"/>
      <c r="E367" s="92"/>
      <c r="F367" s="92"/>
      <c r="G367" s="92"/>
      <c r="H367" s="92"/>
      <c r="I367" s="92"/>
      <c r="J367" s="92"/>
      <c r="K367" s="92"/>
      <c r="L367" s="92"/>
      <c r="M367" s="92"/>
      <c r="N367" s="92"/>
      <c r="O367" s="92"/>
      <c r="P367" s="92"/>
      <c r="Q367" s="92"/>
      <c r="R367" s="92"/>
      <c r="S367" s="92"/>
    </row>
    <row r="368" spans="1:19">
      <c r="A368" s="157"/>
      <c r="B368" s="92"/>
      <c r="C368" s="92"/>
      <c r="D368" s="92"/>
      <c r="E368" s="92"/>
      <c r="F368" s="92"/>
      <c r="G368" s="92"/>
      <c r="H368" s="92"/>
      <c r="I368" s="92"/>
      <c r="J368" s="92"/>
      <c r="K368" s="92"/>
      <c r="L368" s="92"/>
      <c r="M368" s="92"/>
      <c r="N368" s="92"/>
      <c r="O368" s="92"/>
      <c r="P368" s="92"/>
      <c r="Q368" s="92"/>
      <c r="R368" s="92"/>
      <c r="S368" s="92"/>
    </row>
    <row r="369" spans="1:19">
      <c r="A369" s="157"/>
      <c r="B369" s="92"/>
      <c r="C369" s="92"/>
      <c r="D369" s="92"/>
      <c r="E369" s="92"/>
      <c r="F369" s="92"/>
      <c r="G369" s="92"/>
      <c r="H369" s="92"/>
      <c r="I369" s="92"/>
      <c r="J369" s="92"/>
      <c r="K369" s="92"/>
      <c r="L369" s="92"/>
      <c r="M369" s="92"/>
      <c r="N369" s="92"/>
      <c r="O369" s="92"/>
      <c r="P369" s="92"/>
      <c r="Q369" s="92"/>
      <c r="R369" s="92"/>
      <c r="S369" s="92"/>
    </row>
    <row r="370" spans="1:19">
      <c r="A370" s="157"/>
      <c r="B370" s="92"/>
      <c r="C370" s="92"/>
      <c r="D370" s="92"/>
      <c r="E370" s="92"/>
      <c r="F370" s="92"/>
      <c r="G370" s="92"/>
      <c r="H370" s="92"/>
      <c r="I370" s="92"/>
      <c r="J370" s="92"/>
      <c r="K370" s="92"/>
      <c r="L370" s="92"/>
      <c r="M370" s="92"/>
      <c r="N370" s="92"/>
      <c r="O370" s="92"/>
      <c r="P370" s="92"/>
      <c r="Q370" s="92"/>
      <c r="R370" s="92"/>
      <c r="S370" s="92"/>
    </row>
    <row r="371" spans="1:19">
      <c r="A371" s="157"/>
      <c r="B371" s="92"/>
      <c r="C371" s="92"/>
      <c r="D371" s="92"/>
      <c r="E371" s="92"/>
      <c r="F371" s="92"/>
      <c r="G371" s="92"/>
      <c r="H371" s="92"/>
      <c r="I371" s="92"/>
      <c r="J371" s="92"/>
      <c r="K371" s="92"/>
      <c r="L371" s="92"/>
      <c r="M371" s="92"/>
      <c r="N371" s="92"/>
      <c r="O371" s="92"/>
      <c r="P371" s="92"/>
      <c r="Q371" s="92"/>
      <c r="R371" s="92"/>
      <c r="S371" s="92"/>
    </row>
    <row r="372" spans="1:19">
      <c r="A372" s="157"/>
      <c r="B372" s="92"/>
      <c r="C372" s="92"/>
      <c r="D372" s="92"/>
      <c r="E372" s="92"/>
      <c r="F372" s="92"/>
      <c r="G372" s="92"/>
      <c r="H372" s="92"/>
      <c r="I372" s="92"/>
      <c r="J372" s="92"/>
      <c r="K372" s="92"/>
      <c r="L372" s="92"/>
      <c r="M372" s="92"/>
      <c r="N372" s="92"/>
      <c r="O372" s="92"/>
      <c r="P372" s="92"/>
      <c r="Q372" s="92"/>
      <c r="R372" s="92"/>
      <c r="S372" s="92"/>
    </row>
    <row r="373" spans="1:19">
      <c r="A373" s="157"/>
      <c r="B373" s="92"/>
      <c r="C373" s="92"/>
      <c r="D373" s="92"/>
      <c r="E373" s="92"/>
      <c r="F373" s="92"/>
      <c r="G373" s="92"/>
      <c r="H373" s="92"/>
      <c r="I373" s="92"/>
      <c r="J373" s="92"/>
      <c r="K373" s="92"/>
      <c r="L373" s="92"/>
      <c r="M373" s="92"/>
      <c r="N373" s="92"/>
      <c r="O373" s="92"/>
      <c r="P373" s="92"/>
      <c r="Q373" s="92"/>
      <c r="R373" s="92"/>
      <c r="S373" s="92"/>
    </row>
    <row r="374" spans="1:19">
      <c r="A374" s="157"/>
      <c r="B374" s="92"/>
      <c r="C374" s="92"/>
      <c r="D374" s="92"/>
      <c r="E374" s="92"/>
      <c r="F374" s="92"/>
      <c r="G374" s="92"/>
      <c r="H374" s="92"/>
      <c r="I374" s="92"/>
      <c r="J374" s="92"/>
      <c r="K374" s="92"/>
      <c r="L374" s="92"/>
      <c r="M374" s="92"/>
      <c r="N374" s="92"/>
      <c r="O374" s="92"/>
      <c r="P374" s="92"/>
      <c r="Q374" s="92"/>
      <c r="R374" s="92"/>
      <c r="S374" s="92"/>
    </row>
    <row r="375" spans="1:19">
      <c r="A375" s="157"/>
      <c r="B375" s="92"/>
      <c r="C375" s="92"/>
      <c r="D375" s="92"/>
      <c r="E375" s="92"/>
      <c r="F375" s="92"/>
      <c r="G375" s="92"/>
      <c r="H375" s="92"/>
      <c r="I375" s="92"/>
      <c r="J375" s="92"/>
      <c r="K375" s="92"/>
      <c r="L375" s="92"/>
      <c r="M375" s="92"/>
      <c r="N375" s="92"/>
      <c r="O375" s="92"/>
      <c r="P375" s="92"/>
      <c r="Q375" s="92"/>
      <c r="R375" s="92"/>
      <c r="S375" s="92"/>
    </row>
    <row r="376" spans="1:19">
      <c r="A376" s="157"/>
      <c r="B376" s="92"/>
      <c r="C376" s="92"/>
      <c r="D376" s="92"/>
      <c r="E376" s="92"/>
      <c r="F376" s="92"/>
      <c r="G376" s="92"/>
      <c r="H376" s="92"/>
      <c r="I376" s="92"/>
      <c r="J376" s="92"/>
      <c r="K376" s="92"/>
      <c r="L376" s="92"/>
      <c r="M376" s="92"/>
      <c r="N376" s="92"/>
      <c r="O376" s="92"/>
      <c r="P376" s="92"/>
      <c r="Q376" s="92"/>
      <c r="R376" s="92"/>
      <c r="S376" s="92"/>
    </row>
    <row r="377" spans="1:19">
      <c r="A377" s="157"/>
      <c r="B377" s="92"/>
      <c r="C377" s="92"/>
      <c r="D377" s="92"/>
      <c r="E377" s="92"/>
      <c r="F377" s="92"/>
      <c r="G377" s="92"/>
      <c r="H377" s="92"/>
      <c r="I377" s="92"/>
      <c r="J377" s="92"/>
      <c r="K377" s="92"/>
      <c r="L377" s="92"/>
      <c r="M377" s="92"/>
      <c r="N377" s="92"/>
      <c r="O377" s="92"/>
      <c r="P377" s="92"/>
      <c r="Q377" s="92"/>
      <c r="R377" s="92"/>
      <c r="S377" s="92"/>
    </row>
    <row r="378" spans="1:19">
      <c r="A378" s="157"/>
      <c r="B378" s="92"/>
      <c r="C378" s="92"/>
      <c r="D378" s="92"/>
      <c r="E378" s="92"/>
      <c r="F378" s="92"/>
      <c r="G378" s="92"/>
      <c r="H378" s="92"/>
      <c r="I378" s="92"/>
      <c r="J378" s="92"/>
      <c r="K378" s="92"/>
      <c r="L378" s="92"/>
      <c r="M378" s="92"/>
      <c r="N378" s="92"/>
      <c r="O378" s="92"/>
      <c r="P378" s="92"/>
      <c r="Q378" s="92"/>
      <c r="R378" s="92"/>
      <c r="S378" s="92"/>
    </row>
    <row r="379" spans="1:19">
      <c r="A379" s="157"/>
      <c r="B379" s="92"/>
      <c r="C379" s="92"/>
      <c r="D379" s="92"/>
      <c r="E379" s="92"/>
      <c r="F379" s="92"/>
      <c r="G379" s="92"/>
      <c r="H379" s="92"/>
      <c r="I379" s="92"/>
      <c r="J379" s="92"/>
      <c r="K379" s="92"/>
      <c r="L379" s="92"/>
      <c r="M379" s="92"/>
      <c r="N379" s="92"/>
      <c r="O379" s="92"/>
      <c r="P379" s="92"/>
      <c r="Q379" s="92"/>
      <c r="R379" s="92"/>
      <c r="S379" s="92"/>
    </row>
    <row r="380" spans="1:19">
      <c r="A380" s="157"/>
      <c r="B380" s="92"/>
      <c r="C380" s="92"/>
      <c r="D380" s="92"/>
      <c r="E380" s="92"/>
      <c r="F380" s="92"/>
      <c r="G380" s="92"/>
      <c r="H380" s="92"/>
      <c r="I380" s="92"/>
      <c r="J380" s="92"/>
      <c r="K380" s="92"/>
      <c r="L380" s="92"/>
      <c r="M380" s="92"/>
      <c r="N380" s="92"/>
      <c r="O380" s="92"/>
      <c r="P380" s="92"/>
      <c r="Q380" s="92"/>
      <c r="R380" s="92"/>
      <c r="S380" s="92"/>
    </row>
    <row r="381" spans="1:19">
      <c r="A381" s="157"/>
      <c r="B381" s="92"/>
      <c r="C381" s="92"/>
      <c r="D381" s="92"/>
      <c r="E381" s="92"/>
      <c r="F381" s="92"/>
      <c r="G381" s="92"/>
      <c r="H381" s="92"/>
      <c r="I381" s="92"/>
      <c r="J381" s="92"/>
      <c r="K381" s="92"/>
      <c r="L381" s="92"/>
      <c r="M381" s="92"/>
      <c r="N381" s="92"/>
      <c r="O381" s="92"/>
      <c r="P381" s="92"/>
      <c r="Q381" s="92"/>
      <c r="R381" s="92"/>
      <c r="S381" s="92"/>
    </row>
    <row r="382" spans="1:19">
      <c r="A382" s="157"/>
      <c r="B382" s="92"/>
      <c r="C382" s="92"/>
      <c r="D382" s="92"/>
      <c r="E382" s="92"/>
      <c r="F382" s="92"/>
      <c r="G382" s="92"/>
      <c r="H382" s="92"/>
      <c r="I382" s="92"/>
      <c r="J382" s="92"/>
      <c r="K382" s="92"/>
      <c r="L382" s="92"/>
      <c r="M382" s="92"/>
      <c r="N382" s="92"/>
      <c r="O382" s="92"/>
      <c r="P382" s="92"/>
      <c r="Q382" s="92"/>
      <c r="R382" s="92"/>
      <c r="S382" s="92"/>
    </row>
    <row r="383" spans="1:19">
      <c r="A383" s="157"/>
      <c r="B383" s="92"/>
      <c r="C383" s="92"/>
      <c r="D383" s="92"/>
      <c r="E383" s="92"/>
      <c r="F383" s="92"/>
      <c r="G383" s="92"/>
      <c r="H383" s="92"/>
      <c r="I383" s="92"/>
      <c r="J383" s="92"/>
      <c r="K383" s="92"/>
      <c r="L383" s="92"/>
      <c r="M383" s="92"/>
      <c r="N383" s="92"/>
      <c r="O383" s="92"/>
      <c r="P383" s="92"/>
      <c r="Q383" s="92"/>
      <c r="R383" s="92"/>
      <c r="S383" s="92"/>
    </row>
    <row r="384" spans="1:19">
      <c r="A384" s="157"/>
      <c r="B384" s="92"/>
      <c r="C384" s="92"/>
      <c r="D384" s="92"/>
      <c r="E384" s="92"/>
      <c r="F384" s="92"/>
      <c r="G384" s="92"/>
      <c r="H384" s="92"/>
      <c r="I384" s="92"/>
      <c r="J384" s="92"/>
      <c r="K384" s="92"/>
      <c r="L384" s="92"/>
      <c r="M384" s="92"/>
      <c r="N384" s="92"/>
      <c r="O384" s="92"/>
      <c r="P384" s="92"/>
      <c r="Q384" s="92"/>
      <c r="R384" s="92"/>
      <c r="S384" s="92"/>
    </row>
    <row r="385" spans="1:19">
      <c r="A385" s="157"/>
      <c r="B385" s="92"/>
      <c r="C385" s="92"/>
      <c r="D385" s="92"/>
      <c r="E385" s="92"/>
      <c r="F385" s="92"/>
      <c r="G385" s="92"/>
      <c r="H385" s="92"/>
      <c r="I385" s="92"/>
      <c r="J385" s="92"/>
      <c r="K385" s="92"/>
      <c r="L385" s="92"/>
      <c r="M385" s="92"/>
      <c r="N385" s="92"/>
      <c r="O385" s="92"/>
      <c r="P385" s="92"/>
      <c r="Q385" s="92"/>
      <c r="R385" s="92"/>
      <c r="S385" s="92"/>
    </row>
    <row r="386" spans="1:19">
      <c r="A386" s="157"/>
      <c r="B386" s="92"/>
      <c r="C386" s="92"/>
      <c r="D386" s="92"/>
      <c r="E386" s="92"/>
      <c r="F386" s="92"/>
      <c r="G386" s="92"/>
      <c r="H386" s="92"/>
      <c r="I386" s="92"/>
      <c r="J386" s="92"/>
      <c r="K386" s="92"/>
      <c r="L386" s="92"/>
      <c r="M386" s="92"/>
      <c r="N386" s="92"/>
      <c r="O386" s="92"/>
      <c r="P386" s="92"/>
      <c r="Q386" s="92"/>
      <c r="R386" s="92"/>
      <c r="S386" s="92"/>
    </row>
    <row r="387" spans="1:19">
      <c r="A387" s="157"/>
      <c r="B387" s="92"/>
      <c r="C387" s="92"/>
      <c r="D387" s="92"/>
      <c r="E387" s="92"/>
      <c r="F387" s="92"/>
      <c r="G387" s="92"/>
      <c r="H387" s="92"/>
      <c r="I387" s="92"/>
      <c r="J387" s="92"/>
      <c r="K387" s="92"/>
      <c r="L387" s="92"/>
      <c r="M387" s="92"/>
      <c r="N387" s="92"/>
      <c r="O387" s="92"/>
      <c r="P387" s="92"/>
      <c r="Q387" s="92"/>
      <c r="R387" s="92"/>
      <c r="S387" s="92"/>
    </row>
    <row r="388" spans="1:19">
      <c r="A388" s="157"/>
      <c r="B388" s="92"/>
      <c r="C388" s="92"/>
      <c r="D388" s="92"/>
      <c r="E388" s="92"/>
      <c r="F388" s="92"/>
      <c r="G388" s="92"/>
      <c r="H388" s="92"/>
      <c r="I388" s="92"/>
      <c r="J388" s="92"/>
      <c r="K388" s="92"/>
      <c r="L388" s="92"/>
      <c r="M388" s="92"/>
      <c r="N388" s="92"/>
      <c r="O388" s="92"/>
      <c r="P388" s="92"/>
      <c r="Q388" s="92"/>
      <c r="R388" s="92"/>
      <c r="S388" s="92"/>
    </row>
    <row r="389" spans="1:19">
      <c r="A389" s="157"/>
      <c r="B389" s="92"/>
      <c r="C389" s="92"/>
      <c r="D389" s="92"/>
      <c r="E389" s="92"/>
      <c r="F389" s="92"/>
      <c r="G389" s="92"/>
      <c r="H389" s="92"/>
      <c r="I389" s="92"/>
      <c r="J389" s="92"/>
      <c r="K389" s="92"/>
      <c r="L389" s="92"/>
      <c r="M389" s="92"/>
      <c r="N389" s="92"/>
      <c r="O389" s="92"/>
      <c r="P389" s="92"/>
      <c r="Q389" s="92"/>
      <c r="R389" s="92"/>
      <c r="S389" s="92"/>
    </row>
    <row r="390" spans="1:19">
      <c r="A390" s="157"/>
      <c r="B390" s="92"/>
      <c r="C390" s="92"/>
      <c r="D390" s="92"/>
      <c r="E390" s="92"/>
      <c r="F390" s="92"/>
      <c r="G390" s="92"/>
      <c r="H390" s="92"/>
      <c r="I390" s="92"/>
      <c r="J390" s="92"/>
      <c r="K390" s="92"/>
      <c r="L390" s="92"/>
      <c r="M390" s="92"/>
      <c r="N390" s="92"/>
      <c r="O390" s="92"/>
      <c r="P390" s="92"/>
      <c r="Q390" s="92"/>
      <c r="R390" s="92"/>
      <c r="S390" s="92"/>
    </row>
    <row r="391" spans="1:19">
      <c r="A391" s="157"/>
      <c r="B391" s="92"/>
      <c r="C391" s="92"/>
      <c r="D391" s="92"/>
      <c r="E391" s="92"/>
      <c r="F391" s="92"/>
      <c r="G391" s="92"/>
      <c r="H391" s="92"/>
      <c r="I391" s="92"/>
      <c r="J391" s="92"/>
      <c r="K391" s="92"/>
      <c r="L391" s="92"/>
      <c r="M391" s="92"/>
      <c r="N391" s="92"/>
      <c r="O391" s="92"/>
      <c r="P391" s="92"/>
      <c r="Q391" s="92"/>
      <c r="R391" s="92"/>
      <c r="S391" s="92"/>
    </row>
    <row r="392" spans="1:19">
      <c r="A392" s="157"/>
      <c r="B392" s="92"/>
      <c r="C392" s="92"/>
      <c r="D392" s="92"/>
      <c r="E392" s="92"/>
      <c r="F392" s="92"/>
      <c r="G392" s="92"/>
      <c r="H392" s="92"/>
      <c r="I392" s="92"/>
      <c r="J392" s="92"/>
      <c r="K392" s="92"/>
      <c r="L392" s="92"/>
      <c r="M392" s="92"/>
      <c r="N392" s="92"/>
      <c r="O392" s="92"/>
      <c r="P392" s="92"/>
      <c r="Q392" s="92"/>
      <c r="R392" s="92"/>
      <c r="S392" s="92"/>
    </row>
    <row r="393" spans="1:19">
      <c r="A393" s="157"/>
      <c r="B393" s="92"/>
      <c r="C393" s="92"/>
      <c r="D393" s="92"/>
      <c r="E393" s="92"/>
      <c r="F393" s="92"/>
      <c r="G393" s="92"/>
      <c r="H393" s="92"/>
      <c r="I393" s="92"/>
      <c r="J393" s="92"/>
      <c r="K393" s="92"/>
      <c r="L393" s="92"/>
      <c r="M393" s="92"/>
      <c r="N393" s="92"/>
      <c r="O393" s="92"/>
      <c r="P393" s="92"/>
      <c r="Q393" s="92"/>
      <c r="R393" s="92"/>
      <c r="S393" s="92"/>
    </row>
    <row r="394" spans="1:19">
      <c r="A394" s="157"/>
      <c r="B394" s="92"/>
      <c r="C394" s="92"/>
      <c r="D394" s="92"/>
      <c r="E394" s="92"/>
      <c r="F394" s="92"/>
      <c r="G394" s="92"/>
      <c r="H394" s="92"/>
      <c r="I394" s="92"/>
      <c r="J394" s="92"/>
      <c r="K394" s="92"/>
      <c r="L394" s="92"/>
      <c r="M394" s="92"/>
      <c r="N394" s="92"/>
      <c r="O394" s="92"/>
      <c r="P394" s="92"/>
      <c r="Q394" s="92"/>
      <c r="R394" s="92"/>
      <c r="S394" s="92"/>
    </row>
    <row r="395" spans="1:19">
      <c r="A395" s="157"/>
      <c r="B395" s="92"/>
      <c r="C395" s="92"/>
      <c r="D395" s="92"/>
      <c r="E395" s="92"/>
      <c r="F395" s="92"/>
      <c r="G395" s="92"/>
      <c r="H395" s="92"/>
      <c r="I395" s="92"/>
      <c r="J395" s="92"/>
      <c r="K395" s="92"/>
      <c r="L395" s="92"/>
      <c r="M395" s="92"/>
      <c r="N395" s="92"/>
      <c r="O395" s="92"/>
      <c r="P395" s="92"/>
      <c r="Q395" s="92"/>
      <c r="R395" s="92"/>
      <c r="S395" s="92"/>
    </row>
    <row r="396" spans="1:19">
      <c r="A396" s="157"/>
      <c r="B396" s="92"/>
      <c r="C396" s="92"/>
      <c r="D396" s="92"/>
      <c r="E396" s="92"/>
      <c r="F396" s="92"/>
      <c r="G396" s="92"/>
      <c r="H396" s="92"/>
      <c r="I396" s="92"/>
      <c r="J396" s="92"/>
      <c r="K396" s="92"/>
      <c r="L396" s="92"/>
      <c r="M396" s="92"/>
      <c r="N396" s="92"/>
      <c r="O396" s="92"/>
      <c r="P396" s="92"/>
      <c r="Q396" s="92"/>
      <c r="R396" s="92"/>
      <c r="S396" s="92"/>
    </row>
    <row r="397" spans="1:19">
      <c r="A397" s="157"/>
      <c r="B397" s="92"/>
      <c r="C397" s="92"/>
      <c r="D397" s="92"/>
      <c r="E397" s="92"/>
      <c r="F397" s="92"/>
      <c r="G397" s="92"/>
      <c r="H397" s="92"/>
      <c r="I397" s="92"/>
      <c r="J397" s="92"/>
      <c r="K397" s="92"/>
      <c r="L397" s="92"/>
      <c r="M397" s="92"/>
      <c r="N397" s="92"/>
      <c r="O397" s="92"/>
      <c r="P397" s="92"/>
      <c r="Q397" s="92"/>
      <c r="R397" s="92"/>
      <c r="S397" s="92"/>
    </row>
    <row r="398" spans="1:19">
      <c r="A398" s="157"/>
      <c r="B398" s="92"/>
      <c r="C398" s="92"/>
      <c r="D398" s="92"/>
      <c r="E398" s="92"/>
      <c r="F398" s="92"/>
      <c r="G398" s="92"/>
      <c r="H398" s="92"/>
      <c r="I398" s="92"/>
      <c r="J398" s="92"/>
      <c r="K398" s="92"/>
      <c r="L398" s="92"/>
      <c r="M398" s="92"/>
      <c r="N398" s="92"/>
      <c r="O398" s="92"/>
      <c r="P398" s="92"/>
      <c r="Q398" s="92"/>
      <c r="R398" s="92"/>
      <c r="S398" s="92"/>
    </row>
    <row r="399" spans="1:19">
      <c r="A399" s="157"/>
      <c r="B399" s="92"/>
      <c r="C399" s="92"/>
      <c r="D399" s="92"/>
      <c r="E399" s="92"/>
      <c r="F399" s="92"/>
      <c r="G399" s="92"/>
      <c r="H399" s="92"/>
      <c r="I399" s="92"/>
      <c r="J399" s="92"/>
      <c r="K399" s="92"/>
      <c r="L399" s="92"/>
      <c r="M399" s="92"/>
      <c r="N399" s="92"/>
      <c r="O399" s="92"/>
      <c r="P399" s="92"/>
      <c r="Q399" s="92"/>
      <c r="R399" s="92"/>
      <c r="S399" s="92"/>
    </row>
    <row r="400" spans="1:19">
      <c r="A400" s="157"/>
      <c r="B400" s="92"/>
      <c r="C400" s="92"/>
      <c r="D400" s="92"/>
      <c r="E400" s="92"/>
      <c r="F400" s="92"/>
      <c r="G400" s="92"/>
      <c r="H400" s="92"/>
      <c r="I400" s="92"/>
      <c r="J400" s="92"/>
      <c r="K400" s="92"/>
      <c r="L400" s="92"/>
      <c r="M400" s="92"/>
      <c r="N400" s="92"/>
      <c r="O400" s="92"/>
      <c r="P400" s="92"/>
      <c r="Q400" s="92"/>
      <c r="R400" s="92"/>
      <c r="S400" s="92"/>
    </row>
    <row r="401" spans="1:19">
      <c r="A401" s="157"/>
      <c r="B401" s="92"/>
      <c r="C401" s="92"/>
      <c r="D401" s="92"/>
      <c r="E401" s="92"/>
      <c r="F401" s="92"/>
      <c r="G401" s="92"/>
      <c r="H401" s="92"/>
      <c r="I401" s="92"/>
      <c r="J401" s="92"/>
      <c r="K401" s="92"/>
      <c r="L401" s="92"/>
      <c r="M401" s="92"/>
      <c r="N401" s="92"/>
      <c r="O401" s="92"/>
      <c r="P401" s="92"/>
      <c r="Q401" s="92"/>
      <c r="R401" s="92"/>
      <c r="S401" s="92"/>
    </row>
  </sheetData>
  <mergeCells count="37">
    <mergeCell ref="A1:J1"/>
    <mergeCell ref="O1:S1"/>
    <mergeCell ref="A2:J2"/>
    <mergeCell ref="O2:S2"/>
    <mergeCell ref="A3:S3"/>
    <mergeCell ref="A4:S4"/>
    <mergeCell ref="A5:S5"/>
    <mergeCell ref="I6:N6"/>
    <mergeCell ref="O6:R6"/>
    <mergeCell ref="I7:J7"/>
    <mergeCell ref="K7:L7"/>
    <mergeCell ref="M7:N7"/>
    <mergeCell ref="O7:P7"/>
    <mergeCell ref="Q7:R7"/>
    <mergeCell ref="S6:S10"/>
    <mergeCell ref="F6:H7"/>
    <mergeCell ref="G8:H8"/>
    <mergeCell ref="O8:O10"/>
    <mergeCell ref="P8:P10"/>
    <mergeCell ref="Q8:Q10"/>
    <mergeCell ref="R8:R10"/>
    <mergeCell ref="B51:S51"/>
    <mergeCell ref="B66:J66"/>
    <mergeCell ref="A6:A10"/>
    <mergeCell ref="B6:B10"/>
    <mergeCell ref="C6:C10"/>
    <mergeCell ref="D6:D10"/>
    <mergeCell ref="E6:E10"/>
    <mergeCell ref="F8:F10"/>
    <mergeCell ref="G9:G10"/>
    <mergeCell ref="H9:H10"/>
    <mergeCell ref="I8:I10"/>
    <mergeCell ref="J8:J10"/>
    <mergeCell ref="K8:K10"/>
    <mergeCell ref="L8:L10"/>
    <mergeCell ref="M8:M10"/>
    <mergeCell ref="N8:N10"/>
  </mergeCells>
  <printOptions horizontalCentered="1"/>
  <pageMargins left="0.23622047244094499" right="0.23622047244094499" top="0.74803149606299202" bottom="0.74803149606299202" header="0.31496062992126" footer="0.31496062992126"/>
  <pageSetup paperSize="9" scale="55" fitToWidth="0" fitToHeight="0" pageOrder="overThenDown" orientation="landscape" useFirstPageNumber="1"/>
  <headerFooter differentFirst="1">
    <oddFooter>&amp;R&amp;14&amp;P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10"/>
  <sheetViews>
    <sheetView zoomScale="75" zoomScaleNormal="75" zoomScaleSheetLayoutView="75" workbookViewId="0">
      <selection sqref="A1:AC1"/>
    </sheetView>
  </sheetViews>
  <sheetFormatPr defaultColWidth="9.140625" defaultRowHeight="18.75"/>
  <cols>
    <col min="1" max="1" width="6.42578125" style="145" customWidth="1"/>
    <col min="2" max="2" width="26.42578125" style="133" customWidth="1"/>
    <col min="3" max="3" width="10" style="134" customWidth="1"/>
    <col min="4" max="4" width="10.140625" style="134" customWidth="1"/>
    <col min="5" max="5" width="9.42578125" style="134" customWidth="1"/>
    <col min="6" max="6" width="12" style="134" customWidth="1"/>
    <col min="7" max="7" width="12.7109375" style="26" customWidth="1"/>
    <col min="8" max="8" width="16.140625" style="26" customWidth="1"/>
    <col min="9" max="9" width="12.7109375" style="26" customWidth="1"/>
    <col min="10" max="10" width="16.140625" style="26" customWidth="1"/>
    <col min="11" max="11" width="12.7109375" style="26" customWidth="1"/>
    <col min="12" max="12" width="16.140625" style="26" customWidth="1"/>
    <col min="13" max="13" width="12.7109375" style="26" customWidth="1"/>
    <col min="14" max="14" width="16.140625" style="26" customWidth="1"/>
    <col min="15" max="15" width="12.7109375" style="26" customWidth="1"/>
    <col min="16" max="16" width="16.140625" style="26" customWidth="1"/>
    <col min="17" max="17" width="12.7109375" style="26" customWidth="1"/>
    <col min="18" max="18" width="16.140625" style="26" customWidth="1"/>
    <col min="19" max="19" width="10.140625" style="26" customWidth="1"/>
    <col min="20" max="21" width="9.140625" style="92"/>
    <col min="22" max="22" width="56.7109375" style="92" customWidth="1"/>
    <col min="23" max="16384" width="9.140625" style="92"/>
  </cols>
  <sheetData>
    <row r="1" spans="1:24" s="158" customFormat="1" ht="25.15" customHeight="1">
      <c r="A1" s="1201" t="s">
        <v>231</v>
      </c>
      <c r="B1" s="1201"/>
      <c r="C1" s="1201"/>
      <c r="D1" s="1201"/>
      <c r="E1" s="1201"/>
      <c r="F1" s="1201"/>
      <c r="G1" s="1201"/>
      <c r="H1" s="1201"/>
      <c r="I1" s="1201"/>
      <c r="J1" s="163"/>
      <c r="O1" s="1202" t="s">
        <v>1</v>
      </c>
      <c r="P1" s="1202"/>
      <c r="Q1" s="1202"/>
      <c r="R1" s="1202"/>
      <c r="S1" s="1202"/>
      <c r="T1" s="22"/>
      <c r="U1" s="166"/>
      <c r="V1" s="166"/>
      <c r="W1" s="166"/>
      <c r="X1" s="166"/>
    </row>
    <row r="2" spans="1:24" s="158" customFormat="1" ht="25.15" customHeight="1">
      <c r="A2" s="1203" t="s">
        <v>2</v>
      </c>
      <c r="B2" s="1203"/>
      <c r="C2" s="1203"/>
      <c r="D2" s="1203"/>
      <c r="E2" s="1203"/>
      <c r="F2" s="1203"/>
      <c r="G2" s="1203"/>
      <c r="H2" s="1203"/>
      <c r="I2" s="1203"/>
      <c r="J2" s="164"/>
      <c r="O2" s="1204" t="s">
        <v>3</v>
      </c>
      <c r="P2" s="1204"/>
      <c r="Q2" s="1204"/>
      <c r="R2" s="1204"/>
      <c r="S2" s="1204"/>
      <c r="T2" s="24"/>
      <c r="U2" s="166"/>
      <c r="V2" s="166"/>
      <c r="W2" s="166"/>
      <c r="X2" s="166"/>
    </row>
    <row r="3" spans="1:24" s="158" customFormat="1" ht="25.15" customHeight="1">
      <c r="A3" s="1260" t="s">
        <v>4</v>
      </c>
      <c r="B3" s="1260"/>
      <c r="C3" s="1260"/>
      <c r="D3" s="1260"/>
      <c r="E3" s="1260"/>
      <c r="F3" s="1260"/>
      <c r="G3" s="1260"/>
      <c r="H3" s="1260"/>
      <c r="I3" s="1260"/>
      <c r="J3" s="1260"/>
      <c r="K3" s="1260"/>
      <c r="L3" s="1260"/>
      <c r="M3" s="1260"/>
      <c r="N3" s="1260"/>
      <c r="O3" s="1260"/>
      <c r="P3" s="1260"/>
      <c r="Q3" s="1260"/>
      <c r="R3" s="1260"/>
      <c r="S3" s="1260"/>
      <c r="T3" s="166"/>
      <c r="U3" s="166"/>
      <c r="V3" s="166"/>
      <c r="W3" s="166"/>
      <c r="X3" s="166"/>
    </row>
    <row r="4" spans="1:24" s="158" customFormat="1" ht="34.15" customHeight="1">
      <c r="A4" s="1258" t="s">
        <v>232</v>
      </c>
      <c r="B4" s="1258"/>
      <c r="C4" s="1258"/>
      <c r="D4" s="1258"/>
      <c r="E4" s="1258"/>
      <c r="F4" s="1258"/>
      <c r="G4" s="1258"/>
      <c r="H4" s="1258"/>
      <c r="I4" s="1258"/>
      <c r="J4" s="1258"/>
      <c r="K4" s="1258"/>
      <c r="L4" s="1258"/>
      <c r="M4" s="1258"/>
      <c r="N4" s="1258"/>
      <c r="O4" s="1258"/>
      <c r="P4" s="1258"/>
      <c r="Q4" s="1258"/>
      <c r="R4" s="1258"/>
      <c r="S4" s="1258"/>
    </row>
    <row r="5" spans="1:24" s="159" customFormat="1" ht="28.9" customHeight="1">
      <c r="A5" s="1264" t="s">
        <v>6</v>
      </c>
      <c r="B5" s="1264"/>
      <c r="C5" s="1264"/>
      <c r="D5" s="1264"/>
      <c r="E5" s="1264"/>
      <c r="F5" s="1264"/>
      <c r="G5" s="1264"/>
      <c r="H5" s="1264"/>
      <c r="I5" s="1264"/>
      <c r="J5" s="1264"/>
      <c r="K5" s="1264"/>
      <c r="L5" s="1264"/>
      <c r="M5" s="1264"/>
      <c r="N5" s="1264"/>
      <c r="O5" s="1264"/>
      <c r="P5" s="1264"/>
      <c r="Q5" s="1264"/>
      <c r="R5" s="1264"/>
      <c r="S5" s="1264"/>
      <c r="T5" s="158"/>
    </row>
    <row r="6" spans="1:24" s="160" customFormat="1" ht="28.9" customHeight="1">
      <c r="A6" s="1256" t="s">
        <v>7</v>
      </c>
      <c r="B6" s="1241" t="s">
        <v>69</v>
      </c>
      <c r="C6" s="1241" t="s">
        <v>214</v>
      </c>
      <c r="D6" s="1241" t="s">
        <v>215</v>
      </c>
      <c r="E6" s="1241" t="s">
        <v>173</v>
      </c>
      <c r="F6" s="1241" t="s">
        <v>174</v>
      </c>
      <c r="G6" s="1241"/>
      <c r="H6" s="1241"/>
      <c r="I6" s="1250" t="s">
        <v>9</v>
      </c>
      <c r="J6" s="1250"/>
      <c r="K6" s="1250"/>
      <c r="L6" s="1250"/>
      <c r="M6" s="1250"/>
      <c r="N6" s="1250"/>
      <c r="O6" s="1250" t="s">
        <v>10</v>
      </c>
      <c r="P6" s="1250"/>
      <c r="Q6" s="1250"/>
      <c r="R6" s="1250"/>
      <c r="S6" s="1241" t="s">
        <v>11</v>
      </c>
      <c r="T6" s="121"/>
      <c r="U6" s="167"/>
    </row>
    <row r="7" spans="1:24" s="161" customFormat="1" ht="72.599999999999994" customHeight="1">
      <c r="A7" s="1256"/>
      <c r="B7" s="1241"/>
      <c r="C7" s="1241"/>
      <c r="D7" s="1241"/>
      <c r="E7" s="1241"/>
      <c r="F7" s="1241"/>
      <c r="G7" s="1241"/>
      <c r="H7" s="1241"/>
      <c r="I7" s="1241" t="s">
        <v>233</v>
      </c>
      <c r="J7" s="1241"/>
      <c r="K7" s="1241" t="s">
        <v>234</v>
      </c>
      <c r="L7" s="1241"/>
      <c r="M7" s="1241" t="s">
        <v>14</v>
      </c>
      <c r="N7" s="1241"/>
      <c r="O7" s="1241" t="s">
        <v>235</v>
      </c>
      <c r="P7" s="1241"/>
      <c r="Q7" s="1241" t="s">
        <v>236</v>
      </c>
      <c r="R7" s="1241"/>
      <c r="S7" s="1241"/>
      <c r="T7" s="1261"/>
      <c r="U7" s="168"/>
    </row>
    <row r="8" spans="1:24" s="130" customFormat="1" ht="38.65" customHeight="1">
      <c r="A8" s="1256"/>
      <c r="B8" s="1241"/>
      <c r="C8" s="1241"/>
      <c r="D8" s="1241"/>
      <c r="E8" s="1241"/>
      <c r="F8" s="1241" t="s">
        <v>218</v>
      </c>
      <c r="G8" s="1241" t="s">
        <v>73</v>
      </c>
      <c r="H8" s="1241"/>
      <c r="I8" s="1241" t="s">
        <v>74</v>
      </c>
      <c r="J8" s="1241" t="s">
        <v>237</v>
      </c>
      <c r="K8" s="1241" t="s">
        <v>74</v>
      </c>
      <c r="L8" s="1241" t="s">
        <v>237</v>
      </c>
      <c r="M8" s="1241" t="s">
        <v>74</v>
      </c>
      <c r="N8" s="1241" t="s">
        <v>237</v>
      </c>
      <c r="O8" s="1241" t="s">
        <v>74</v>
      </c>
      <c r="P8" s="1241" t="s">
        <v>237</v>
      </c>
      <c r="Q8" s="1241" t="s">
        <v>74</v>
      </c>
      <c r="R8" s="1241" t="s">
        <v>237</v>
      </c>
      <c r="S8" s="1241"/>
      <c r="T8" s="1261"/>
      <c r="U8" s="2"/>
    </row>
    <row r="9" spans="1:24" s="130" customFormat="1" ht="38.65" customHeight="1">
      <c r="A9" s="1256"/>
      <c r="B9" s="1241"/>
      <c r="C9" s="1241"/>
      <c r="D9" s="1241"/>
      <c r="E9" s="1241"/>
      <c r="F9" s="1241"/>
      <c r="G9" s="1241" t="s">
        <v>74</v>
      </c>
      <c r="H9" s="1241" t="s">
        <v>237</v>
      </c>
      <c r="I9" s="1241"/>
      <c r="J9" s="1241"/>
      <c r="K9" s="1241"/>
      <c r="L9" s="1241"/>
      <c r="M9" s="1241"/>
      <c r="N9" s="1241"/>
      <c r="O9" s="1241"/>
      <c r="P9" s="1241"/>
      <c r="Q9" s="1241"/>
      <c r="R9" s="1241"/>
      <c r="S9" s="1241"/>
      <c r="T9" s="1261"/>
      <c r="U9" s="2"/>
    </row>
    <row r="10" spans="1:24" s="130" customFormat="1" ht="42.4" customHeight="1">
      <c r="A10" s="1256"/>
      <c r="B10" s="1241"/>
      <c r="C10" s="1241"/>
      <c r="D10" s="1241"/>
      <c r="E10" s="1241"/>
      <c r="F10" s="1241"/>
      <c r="G10" s="1263"/>
      <c r="H10" s="1241"/>
      <c r="I10" s="1241"/>
      <c r="J10" s="1241"/>
      <c r="K10" s="1241"/>
      <c r="L10" s="1241"/>
      <c r="M10" s="1241"/>
      <c r="N10" s="1241"/>
      <c r="O10" s="1241"/>
      <c r="P10" s="1241"/>
      <c r="Q10" s="1241"/>
      <c r="R10" s="1241"/>
      <c r="S10" s="1241"/>
      <c r="T10" s="105"/>
      <c r="U10" s="2"/>
    </row>
    <row r="11" spans="1:24" s="133" customFormat="1" ht="25.15" customHeight="1">
      <c r="A11" s="105" t="s">
        <v>28</v>
      </c>
      <c r="B11" s="105">
        <v>2</v>
      </c>
      <c r="C11" s="105">
        <v>3</v>
      </c>
      <c r="D11" s="105">
        <v>4</v>
      </c>
      <c r="E11" s="105">
        <v>5</v>
      </c>
      <c r="F11" s="105">
        <v>6</v>
      </c>
      <c r="G11" s="105">
        <v>7</v>
      </c>
      <c r="H11" s="105">
        <v>8</v>
      </c>
      <c r="I11" s="105">
        <v>9</v>
      </c>
      <c r="J11" s="105">
        <v>10</v>
      </c>
      <c r="K11" s="105">
        <v>11</v>
      </c>
      <c r="L11" s="105">
        <v>12</v>
      </c>
      <c r="M11" s="105">
        <v>13</v>
      </c>
      <c r="N11" s="105">
        <v>14</v>
      </c>
      <c r="O11" s="105">
        <v>15</v>
      </c>
      <c r="P11" s="105">
        <v>16</v>
      </c>
      <c r="Q11" s="105">
        <v>17</v>
      </c>
      <c r="R11" s="105">
        <v>18</v>
      </c>
      <c r="S11" s="105">
        <v>19</v>
      </c>
      <c r="T11" s="20"/>
      <c r="U11" s="20"/>
      <c r="V11" s="169" t="s">
        <v>238</v>
      </c>
    </row>
    <row r="12" spans="1:24" ht="31.5" customHeight="1">
      <c r="A12" s="111"/>
      <c r="B12" s="112" t="s">
        <v>27</v>
      </c>
      <c r="C12" s="2"/>
      <c r="D12" s="2"/>
      <c r="E12" s="2"/>
      <c r="F12" s="2"/>
      <c r="G12" s="2"/>
      <c r="H12" s="2"/>
      <c r="I12" s="2"/>
      <c r="J12" s="2"/>
      <c r="K12" s="2"/>
      <c r="L12" s="2"/>
      <c r="M12" s="2"/>
      <c r="N12" s="2"/>
      <c r="O12" s="2"/>
      <c r="P12" s="2"/>
      <c r="Q12" s="2"/>
      <c r="R12" s="2"/>
      <c r="S12" s="106"/>
      <c r="T12" s="121"/>
      <c r="U12" s="121"/>
    </row>
    <row r="13" spans="1:24" ht="29.25" customHeight="1">
      <c r="A13" s="15" t="s">
        <v>95</v>
      </c>
      <c r="B13" s="17" t="s">
        <v>239</v>
      </c>
      <c r="C13" s="105"/>
      <c r="D13" s="105"/>
      <c r="E13" s="105"/>
      <c r="F13" s="105"/>
      <c r="G13" s="106"/>
      <c r="H13" s="106"/>
      <c r="I13" s="2"/>
      <c r="J13" s="2"/>
      <c r="K13" s="2"/>
      <c r="L13" s="2"/>
      <c r="M13" s="2"/>
      <c r="N13" s="2"/>
      <c r="O13" s="2"/>
      <c r="P13" s="2"/>
      <c r="Q13" s="2"/>
      <c r="R13" s="2"/>
      <c r="S13" s="106"/>
      <c r="T13" s="121"/>
      <c r="U13" s="121"/>
    </row>
    <row r="14" spans="1:24" ht="64.900000000000006" customHeight="1">
      <c r="A14" s="15" t="s">
        <v>28</v>
      </c>
      <c r="B14" s="104" t="s">
        <v>187</v>
      </c>
      <c r="C14" s="105"/>
      <c r="D14" s="105"/>
      <c r="E14" s="105"/>
      <c r="F14" s="105"/>
      <c r="G14" s="106"/>
      <c r="H14" s="106"/>
      <c r="I14" s="106"/>
      <c r="J14" s="106"/>
      <c r="K14" s="106"/>
      <c r="L14" s="106"/>
      <c r="M14" s="106"/>
      <c r="N14" s="106"/>
      <c r="O14" s="106"/>
      <c r="P14" s="106"/>
      <c r="Q14" s="106"/>
      <c r="R14" s="106"/>
      <c r="S14" s="106"/>
      <c r="T14" s="106"/>
      <c r="U14" s="106"/>
    </row>
    <row r="15" spans="1:24" s="93" customFormat="1" ht="70.150000000000006" customHeight="1">
      <c r="A15" s="107" t="s">
        <v>188</v>
      </c>
      <c r="B15" s="108" t="s">
        <v>189</v>
      </c>
      <c r="C15" s="109"/>
      <c r="D15" s="109"/>
      <c r="E15" s="109"/>
      <c r="F15" s="109"/>
      <c r="G15" s="110"/>
      <c r="H15" s="110"/>
      <c r="I15" s="110"/>
      <c r="J15" s="110"/>
      <c r="K15" s="110"/>
      <c r="L15" s="110"/>
      <c r="M15" s="110"/>
      <c r="N15" s="110"/>
      <c r="O15" s="110"/>
      <c r="P15" s="110"/>
      <c r="Q15" s="110"/>
      <c r="R15" s="110"/>
      <c r="S15" s="110"/>
      <c r="T15" s="110"/>
      <c r="U15" s="110"/>
    </row>
    <row r="16" spans="1:24" ht="25.15" customHeight="1">
      <c r="A16" s="111" t="s">
        <v>190</v>
      </c>
      <c r="B16" s="20" t="s">
        <v>191</v>
      </c>
      <c r="C16" s="105"/>
      <c r="D16" s="105"/>
      <c r="E16" s="105"/>
      <c r="F16" s="105"/>
      <c r="G16" s="106"/>
      <c r="H16" s="106"/>
      <c r="I16" s="106"/>
      <c r="J16" s="106"/>
      <c r="K16" s="106"/>
      <c r="L16" s="106"/>
      <c r="M16" s="106"/>
      <c r="N16" s="106"/>
      <c r="O16" s="106"/>
      <c r="P16" s="106"/>
      <c r="Q16" s="106"/>
      <c r="R16" s="106"/>
      <c r="S16" s="106"/>
      <c r="T16" s="106"/>
      <c r="U16" s="106"/>
    </row>
    <row r="17" spans="1:21" ht="25.15" customHeight="1">
      <c r="A17" s="111" t="s">
        <v>192</v>
      </c>
      <c r="B17" s="189" t="s">
        <v>193</v>
      </c>
      <c r="C17" s="105"/>
      <c r="D17" s="105"/>
      <c r="E17" s="105"/>
      <c r="F17" s="105"/>
      <c r="G17" s="106"/>
      <c r="H17" s="106"/>
      <c r="I17" s="106"/>
      <c r="J17" s="106"/>
      <c r="K17" s="106"/>
      <c r="L17" s="106"/>
      <c r="M17" s="106"/>
      <c r="N17" s="106"/>
      <c r="O17" s="106"/>
      <c r="P17" s="106"/>
      <c r="Q17" s="106"/>
      <c r="R17" s="106"/>
      <c r="S17" s="106"/>
      <c r="T17" s="106"/>
      <c r="U17" s="106"/>
    </row>
    <row r="18" spans="1:21" s="93" customFormat="1" ht="81" customHeight="1">
      <c r="A18" s="107" t="s">
        <v>194</v>
      </c>
      <c r="B18" s="108" t="s">
        <v>195</v>
      </c>
      <c r="C18" s="109"/>
      <c r="D18" s="109"/>
      <c r="E18" s="109"/>
      <c r="F18" s="109"/>
      <c r="G18" s="110"/>
      <c r="H18" s="110"/>
      <c r="I18" s="110"/>
      <c r="J18" s="110"/>
      <c r="K18" s="110"/>
      <c r="L18" s="110"/>
      <c r="M18" s="110"/>
      <c r="N18" s="110"/>
      <c r="O18" s="110"/>
      <c r="P18" s="110"/>
      <c r="Q18" s="110"/>
      <c r="R18" s="110"/>
      <c r="S18" s="110"/>
      <c r="T18" s="110"/>
      <c r="U18" s="110"/>
    </row>
    <row r="19" spans="1:21" s="94" customFormat="1" ht="48" customHeight="1">
      <c r="A19" s="111"/>
      <c r="B19" s="20" t="s">
        <v>196</v>
      </c>
      <c r="C19" s="112"/>
      <c r="D19" s="112"/>
      <c r="E19" s="112"/>
      <c r="F19" s="112"/>
      <c r="G19" s="113"/>
      <c r="H19" s="113"/>
      <c r="I19" s="113"/>
      <c r="J19" s="113"/>
      <c r="K19" s="113"/>
      <c r="L19" s="113"/>
      <c r="M19" s="113"/>
      <c r="N19" s="113"/>
      <c r="O19" s="113"/>
      <c r="P19" s="113"/>
      <c r="Q19" s="113"/>
      <c r="R19" s="113"/>
      <c r="S19" s="113"/>
      <c r="T19" s="113"/>
      <c r="U19" s="113"/>
    </row>
    <row r="20" spans="1:21" s="95" customFormat="1" ht="65.650000000000006" customHeight="1">
      <c r="A20" s="107" t="s">
        <v>197</v>
      </c>
      <c r="B20" s="108" t="s">
        <v>198</v>
      </c>
      <c r="C20" s="114"/>
      <c r="D20" s="114"/>
      <c r="E20" s="114"/>
      <c r="F20" s="114"/>
      <c r="G20" s="115"/>
      <c r="H20" s="115"/>
      <c r="I20" s="115"/>
      <c r="J20" s="115"/>
      <c r="K20" s="115"/>
      <c r="L20" s="115"/>
      <c r="M20" s="115"/>
      <c r="N20" s="115"/>
      <c r="O20" s="115"/>
      <c r="P20" s="115"/>
      <c r="Q20" s="115"/>
      <c r="R20" s="115"/>
      <c r="S20" s="115"/>
      <c r="T20" s="115"/>
      <c r="U20" s="115"/>
    </row>
    <row r="21" spans="1:21" s="95" customFormat="1" ht="96.4" customHeight="1">
      <c r="A21" s="107"/>
      <c r="B21" s="190" t="s">
        <v>199</v>
      </c>
      <c r="C21" s="114"/>
      <c r="D21" s="114"/>
      <c r="E21" s="114"/>
      <c r="F21" s="114"/>
      <c r="G21" s="115"/>
      <c r="H21" s="115"/>
      <c r="I21" s="115"/>
      <c r="J21" s="115"/>
      <c r="K21" s="115"/>
      <c r="L21" s="115"/>
      <c r="M21" s="115"/>
      <c r="N21" s="115"/>
      <c r="O21" s="115"/>
      <c r="P21" s="115"/>
      <c r="Q21" s="115"/>
      <c r="R21" s="115"/>
      <c r="S21" s="115"/>
      <c r="T21" s="115"/>
      <c r="U21" s="115"/>
    </row>
    <row r="22" spans="1:21" s="95" customFormat="1" ht="51" customHeight="1">
      <c r="A22" s="107"/>
      <c r="B22" s="20" t="s">
        <v>196</v>
      </c>
      <c r="C22" s="114"/>
      <c r="D22" s="114"/>
      <c r="E22" s="114"/>
      <c r="F22" s="114"/>
      <c r="G22" s="115"/>
      <c r="H22" s="115"/>
      <c r="I22" s="115"/>
      <c r="J22" s="115"/>
      <c r="K22" s="115"/>
      <c r="L22" s="115"/>
      <c r="M22" s="115"/>
      <c r="N22" s="115"/>
      <c r="O22" s="115"/>
      <c r="P22" s="115"/>
      <c r="Q22" s="115"/>
      <c r="R22" s="115"/>
      <c r="S22" s="115"/>
      <c r="T22" s="115"/>
      <c r="U22" s="115"/>
    </row>
    <row r="23" spans="1:21" s="93" customFormat="1" ht="49.9" customHeight="1">
      <c r="A23" s="107"/>
      <c r="B23" s="190" t="s">
        <v>200</v>
      </c>
      <c r="C23" s="109"/>
      <c r="D23" s="109"/>
      <c r="E23" s="109"/>
      <c r="F23" s="109"/>
      <c r="G23" s="110"/>
      <c r="H23" s="110"/>
      <c r="I23" s="110"/>
      <c r="J23" s="110"/>
      <c r="K23" s="110"/>
      <c r="L23" s="110"/>
      <c r="M23" s="110"/>
      <c r="N23" s="110"/>
      <c r="O23" s="110"/>
      <c r="P23" s="110"/>
      <c r="Q23" s="110"/>
      <c r="R23" s="110"/>
      <c r="S23" s="110"/>
      <c r="T23" s="110"/>
      <c r="U23" s="110"/>
    </row>
    <row r="24" spans="1:21" s="94" customFormat="1" ht="55.15" customHeight="1">
      <c r="A24" s="111"/>
      <c r="B24" s="20" t="s">
        <v>196</v>
      </c>
      <c r="C24" s="112"/>
      <c r="D24" s="112"/>
      <c r="E24" s="112"/>
      <c r="F24" s="112"/>
      <c r="G24" s="113"/>
      <c r="H24" s="113"/>
      <c r="I24" s="113"/>
      <c r="J24" s="113"/>
      <c r="K24" s="113"/>
      <c r="L24" s="113"/>
      <c r="M24" s="113"/>
      <c r="N24" s="113"/>
      <c r="O24" s="113"/>
      <c r="P24" s="113"/>
      <c r="Q24" s="113"/>
      <c r="R24" s="113"/>
      <c r="S24" s="113"/>
      <c r="T24" s="113"/>
      <c r="U24" s="113"/>
    </row>
    <row r="25" spans="1:21" s="95" customFormat="1" ht="63" customHeight="1">
      <c r="A25" s="107" t="s">
        <v>221</v>
      </c>
      <c r="B25" s="108" t="s">
        <v>222</v>
      </c>
      <c r="C25" s="114"/>
      <c r="D25" s="114"/>
      <c r="E25" s="114"/>
      <c r="F25" s="114"/>
      <c r="G25" s="115"/>
      <c r="H25" s="115"/>
      <c r="I25" s="115"/>
      <c r="J25" s="115"/>
      <c r="K25" s="115"/>
      <c r="L25" s="115"/>
      <c r="M25" s="115"/>
      <c r="N25" s="115"/>
      <c r="O25" s="115"/>
      <c r="P25" s="115"/>
      <c r="Q25" s="115"/>
      <c r="R25" s="115"/>
      <c r="S25" s="115"/>
      <c r="T25" s="115"/>
      <c r="U25" s="115"/>
    </row>
    <row r="26" spans="1:21" s="95" customFormat="1" ht="76.900000000000006" customHeight="1">
      <c r="A26" s="107"/>
      <c r="B26" s="190" t="s">
        <v>223</v>
      </c>
      <c r="C26" s="114"/>
      <c r="D26" s="114"/>
      <c r="E26" s="114"/>
      <c r="F26" s="114"/>
      <c r="G26" s="115"/>
      <c r="H26" s="115"/>
      <c r="I26" s="115"/>
      <c r="J26" s="115"/>
      <c r="K26" s="115"/>
      <c r="L26" s="115"/>
      <c r="M26" s="115"/>
      <c r="N26" s="115"/>
      <c r="O26" s="115"/>
      <c r="P26" s="115"/>
      <c r="Q26" s="115"/>
      <c r="R26" s="115"/>
      <c r="S26" s="115"/>
      <c r="T26" s="115"/>
      <c r="U26" s="115"/>
    </row>
    <row r="27" spans="1:21" s="94" customFormat="1" ht="40.9" customHeight="1">
      <c r="A27" s="111"/>
      <c r="B27" s="20" t="s">
        <v>196</v>
      </c>
      <c r="C27" s="112"/>
      <c r="D27" s="112"/>
      <c r="E27" s="112"/>
      <c r="F27" s="112"/>
      <c r="G27" s="113"/>
      <c r="H27" s="113"/>
      <c r="I27" s="113"/>
      <c r="J27" s="113"/>
      <c r="K27" s="113"/>
      <c r="L27" s="113"/>
      <c r="M27" s="113"/>
      <c r="N27" s="113"/>
      <c r="O27" s="113"/>
      <c r="P27" s="113"/>
      <c r="Q27" s="113"/>
      <c r="R27" s="113"/>
      <c r="S27" s="113"/>
      <c r="T27" s="113"/>
      <c r="U27" s="113"/>
    </row>
    <row r="28" spans="1:21" s="95" customFormat="1" ht="49.15" customHeight="1">
      <c r="A28" s="107"/>
      <c r="B28" s="190" t="s">
        <v>224</v>
      </c>
      <c r="C28" s="114"/>
      <c r="D28" s="114"/>
      <c r="E28" s="114"/>
      <c r="F28" s="114"/>
      <c r="G28" s="115"/>
      <c r="H28" s="115"/>
      <c r="I28" s="115"/>
      <c r="J28" s="115"/>
      <c r="K28" s="115"/>
      <c r="L28" s="115"/>
      <c r="M28" s="115"/>
      <c r="N28" s="115"/>
      <c r="O28" s="115"/>
      <c r="P28" s="115"/>
      <c r="Q28" s="115"/>
      <c r="R28" s="115"/>
      <c r="S28" s="115"/>
      <c r="T28" s="115"/>
      <c r="U28" s="115"/>
    </row>
    <row r="29" spans="1:21" s="94" customFormat="1" ht="40.15" customHeight="1">
      <c r="A29" s="111"/>
      <c r="B29" s="20" t="s">
        <v>196</v>
      </c>
      <c r="C29" s="112"/>
      <c r="D29" s="112"/>
      <c r="E29" s="112"/>
      <c r="F29" s="112"/>
      <c r="G29" s="113"/>
      <c r="H29" s="113"/>
      <c r="I29" s="113"/>
      <c r="J29" s="113"/>
      <c r="K29" s="113"/>
      <c r="L29" s="113"/>
      <c r="M29" s="113"/>
      <c r="N29" s="113"/>
      <c r="O29" s="113"/>
      <c r="P29" s="113"/>
      <c r="Q29" s="113"/>
      <c r="R29" s="113"/>
      <c r="S29" s="113"/>
      <c r="T29" s="113"/>
      <c r="U29" s="113"/>
    </row>
    <row r="30" spans="1:21" s="94" customFormat="1" ht="43.9" customHeight="1">
      <c r="A30" s="15" t="s">
        <v>30</v>
      </c>
      <c r="B30" s="104" t="s">
        <v>201</v>
      </c>
      <c r="C30" s="112"/>
      <c r="D30" s="112"/>
      <c r="E30" s="112"/>
      <c r="F30" s="112"/>
      <c r="G30" s="113"/>
      <c r="H30" s="113"/>
      <c r="I30" s="113"/>
      <c r="J30" s="113"/>
      <c r="K30" s="113"/>
      <c r="L30" s="113"/>
      <c r="M30" s="113"/>
      <c r="N30" s="113"/>
      <c r="O30" s="113"/>
      <c r="P30" s="113"/>
      <c r="Q30" s="113"/>
      <c r="R30" s="113"/>
      <c r="S30" s="113"/>
      <c r="T30" s="113"/>
      <c r="U30" s="113"/>
    </row>
    <row r="31" spans="1:21" s="93" customFormat="1" ht="63" customHeight="1">
      <c r="A31" s="107" t="s">
        <v>188</v>
      </c>
      <c r="B31" s="108" t="s">
        <v>202</v>
      </c>
      <c r="C31" s="109"/>
      <c r="D31" s="109"/>
      <c r="E31" s="109"/>
      <c r="F31" s="109"/>
      <c r="G31" s="110"/>
      <c r="H31" s="110"/>
      <c r="I31" s="110"/>
      <c r="J31" s="110"/>
      <c r="K31" s="110"/>
      <c r="L31" s="110"/>
      <c r="M31" s="110"/>
      <c r="N31" s="110"/>
      <c r="O31" s="110"/>
      <c r="P31" s="110"/>
      <c r="Q31" s="110"/>
      <c r="R31" s="110"/>
      <c r="S31" s="110"/>
      <c r="T31" s="110"/>
      <c r="U31" s="110"/>
    </row>
    <row r="32" spans="1:21" ht="40.9" customHeight="1">
      <c r="A32" s="111"/>
      <c r="B32" s="20" t="s">
        <v>196</v>
      </c>
      <c r="C32" s="105"/>
      <c r="D32" s="105"/>
      <c r="E32" s="105"/>
      <c r="F32" s="105"/>
      <c r="G32" s="106"/>
      <c r="H32" s="106"/>
      <c r="I32" s="106"/>
      <c r="J32" s="106"/>
      <c r="K32" s="106"/>
      <c r="L32" s="106"/>
      <c r="M32" s="106"/>
      <c r="N32" s="106"/>
      <c r="O32" s="106"/>
      <c r="P32" s="106"/>
      <c r="Q32" s="106"/>
      <c r="R32" s="106"/>
      <c r="S32" s="106"/>
      <c r="T32" s="106"/>
      <c r="U32" s="106"/>
    </row>
    <row r="33" spans="1:21" s="95" customFormat="1" ht="46.9" customHeight="1">
      <c r="A33" s="107" t="s">
        <v>194</v>
      </c>
      <c r="B33" s="108" t="s">
        <v>198</v>
      </c>
      <c r="C33" s="114"/>
      <c r="D33" s="114"/>
      <c r="E33" s="114"/>
      <c r="F33" s="114"/>
      <c r="G33" s="115"/>
      <c r="H33" s="115"/>
      <c r="I33" s="115"/>
      <c r="J33" s="115"/>
      <c r="K33" s="115"/>
      <c r="L33" s="115"/>
      <c r="M33" s="115"/>
      <c r="N33" s="115"/>
      <c r="O33" s="115"/>
      <c r="P33" s="115"/>
      <c r="Q33" s="115"/>
      <c r="R33" s="115"/>
      <c r="S33" s="115"/>
      <c r="T33" s="115"/>
      <c r="U33" s="115"/>
    </row>
    <row r="34" spans="1:21" s="95" customFormat="1" ht="98.65" customHeight="1">
      <c r="A34" s="107"/>
      <c r="B34" s="190" t="s">
        <v>199</v>
      </c>
      <c r="C34" s="114"/>
      <c r="D34" s="114"/>
      <c r="E34" s="114"/>
      <c r="F34" s="114"/>
      <c r="G34" s="115"/>
      <c r="H34" s="115"/>
      <c r="I34" s="115"/>
      <c r="J34" s="115"/>
      <c r="K34" s="115"/>
      <c r="L34" s="115"/>
      <c r="M34" s="115"/>
      <c r="N34" s="115"/>
      <c r="O34" s="115"/>
      <c r="P34" s="115"/>
      <c r="Q34" s="115"/>
      <c r="R34" s="115"/>
      <c r="S34" s="115"/>
      <c r="T34" s="115"/>
      <c r="U34" s="115"/>
    </row>
    <row r="35" spans="1:21" s="95" customFormat="1" ht="43.9" customHeight="1">
      <c r="A35" s="107"/>
      <c r="B35" s="20" t="s">
        <v>196</v>
      </c>
      <c r="C35" s="114"/>
      <c r="D35" s="114"/>
      <c r="E35" s="114"/>
      <c r="F35" s="114"/>
      <c r="G35" s="115"/>
      <c r="H35" s="115"/>
      <c r="I35" s="115"/>
      <c r="J35" s="115"/>
      <c r="K35" s="115"/>
      <c r="L35" s="115"/>
      <c r="M35" s="115"/>
      <c r="N35" s="115"/>
      <c r="O35" s="115"/>
      <c r="P35" s="115"/>
      <c r="Q35" s="115"/>
      <c r="R35" s="115"/>
      <c r="S35" s="115"/>
      <c r="T35" s="115"/>
      <c r="U35" s="115"/>
    </row>
    <row r="36" spans="1:21" s="93" customFormat="1" ht="57" customHeight="1">
      <c r="A36" s="107"/>
      <c r="B36" s="190" t="s">
        <v>200</v>
      </c>
      <c r="C36" s="109"/>
      <c r="D36" s="109"/>
      <c r="E36" s="109"/>
      <c r="F36" s="109"/>
      <c r="G36" s="110"/>
      <c r="H36" s="110"/>
      <c r="I36" s="110"/>
      <c r="J36" s="110"/>
      <c r="K36" s="110"/>
      <c r="L36" s="110"/>
      <c r="M36" s="110"/>
      <c r="N36" s="110"/>
      <c r="O36" s="110"/>
      <c r="P36" s="110"/>
      <c r="Q36" s="110"/>
      <c r="R36" s="110"/>
      <c r="S36" s="110"/>
      <c r="T36" s="110"/>
      <c r="U36" s="110"/>
    </row>
    <row r="37" spans="1:21" s="94" customFormat="1" ht="49.15" customHeight="1">
      <c r="A37" s="111"/>
      <c r="B37" s="20" t="s">
        <v>196</v>
      </c>
      <c r="C37" s="112"/>
      <c r="D37" s="112"/>
      <c r="E37" s="112"/>
      <c r="F37" s="112"/>
      <c r="G37" s="113"/>
      <c r="H37" s="113"/>
      <c r="I37" s="113"/>
      <c r="J37" s="113"/>
      <c r="K37" s="113"/>
      <c r="L37" s="113"/>
      <c r="M37" s="113"/>
      <c r="N37" s="113"/>
      <c r="O37" s="113"/>
      <c r="P37" s="113"/>
      <c r="Q37" s="113"/>
      <c r="R37" s="113"/>
      <c r="S37" s="113"/>
      <c r="T37" s="113"/>
      <c r="U37" s="113"/>
    </row>
    <row r="38" spans="1:21" s="93" customFormat="1" ht="105" customHeight="1">
      <c r="A38" s="107"/>
      <c r="B38" s="190" t="s">
        <v>240</v>
      </c>
      <c r="C38" s="109"/>
      <c r="D38" s="109"/>
      <c r="E38" s="109"/>
      <c r="F38" s="109"/>
      <c r="G38" s="110"/>
      <c r="H38" s="110"/>
      <c r="I38" s="110"/>
      <c r="J38" s="110"/>
      <c r="K38" s="110"/>
      <c r="L38" s="110"/>
      <c r="M38" s="110"/>
      <c r="N38" s="110"/>
      <c r="O38" s="110"/>
      <c r="P38" s="110"/>
      <c r="Q38" s="110"/>
      <c r="R38" s="110"/>
      <c r="S38" s="110"/>
      <c r="T38" s="110"/>
      <c r="U38" s="110"/>
    </row>
    <row r="39" spans="1:21" s="95" customFormat="1" ht="77.650000000000006" customHeight="1">
      <c r="A39" s="116"/>
      <c r="B39" s="191" t="s">
        <v>226</v>
      </c>
      <c r="C39" s="114"/>
      <c r="D39" s="114"/>
      <c r="E39" s="114"/>
      <c r="F39" s="114"/>
      <c r="G39" s="115"/>
      <c r="H39" s="115"/>
      <c r="I39" s="115"/>
      <c r="J39" s="115"/>
      <c r="K39" s="115"/>
      <c r="L39" s="115"/>
      <c r="M39" s="115"/>
      <c r="N39" s="115"/>
      <c r="O39" s="115"/>
      <c r="P39" s="115"/>
      <c r="Q39" s="115"/>
      <c r="R39" s="115"/>
      <c r="S39" s="115"/>
      <c r="T39" s="115"/>
      <c r="U39" s="115"/>
    </row>
    <row r="40" spans="1:21" ht="54" customHeight="1">
      <c r="A40" s="111"/>
      <c r="B40" s="20" t="s">
        <v>196</v>
      </c>
      <c r="C40" s="105"/>
      <c r="D40" s="105"/>
      <c r="E40" s="105"/>
      <c r="F40" s="105"/>
      <c r="G40" s="106"/>
      <c r="H40" s="106"/>
      <c r="I40" s="106"/>
      <c r="J40" s="106"/>
      <c r="K40" s="106"/>
      <c r="L40" s="106"/>
      <c r="M40" s="106"/>
      <c r="N40" s="106"/>
      <c r="O40" s="106"/>
      <c r="P40" s="106"/>
      <c r="Q40" s="106"/>
      <c r="R40" s="106"/>
      <c r="S40" s="106"/>
      <c r="T40" s="106"/>
      <c r="U40" s="106"/>
    </row>
    <row r="41" spans="1:21" s="95" customFormat="1" ht="55.9" customHeight="1">
      <c r="A41" s="116"/>
      <c r="B41" s="191" t="s">
        <v>227</v>
      </c>
      <c r="C41" s="114"/>
      <c r="D41" s="114"/>
      <c r="E41" s="114"/>
      <c r="F41" s="114"/>
      <c r="G41" s="115"/>
      <c r="H41" s="115"/>
      <c r="I41" s="115"/>
      <c r="J41" s="115"/>
      <c r="K41" s="115"/>
      <c r="L41" s="115"/>
      <c r="M41" s="115"/>
      <c r="N41" s="115"/>
      <c r="O41" s="115"/>
      <c r="P41" s="115"/>
      <c r="Q41" s="115"/>
      <c r="R41" s="115"/>
      <c r="S41" s="115"/>
      <c r="T41" s="115"/>
      <c r="U41" s="115"/>
    </row>
    <row r="42" spans="1:21" ht="54" customHeight="1">
      <c r="A42" s="111"/>
      <c r="B42" s="20" t="s">
        <v>196</v>
      </c>
      <c r="C42" s="105"/>
      <c r="D42" s="105"/>
      <c r="E42" s="105"/>
      <c r="F42" s="105"/>
      <c r="G42" s="106"/>
      <c r="H42" s="106"/>
      <c r="I42" s="106"/>
      <c r="J42" s="106"/>
      <c r="K42" s="106"/>
      <c r="L42" s="106"/>
      <c r="M42" s="106"/>
      <c r="N42" s="106"/>
      <c r="O42" s="106"/>
      <c r="P42" s="106"/>
      <c r="Q42" s="106"/>
      <c r="R42" s="106"/>
      <c r="S42" s="106"/>
      <c r="T42" s="106"/>
      <c r="U42" s="106"/>
    </row>
    <row r="43" spans="1:21" ht="60" customHeight="1">
      <c r="A43" s="15" t="s">
        <v>32</v>
      </c>
      <c r="B43" s="104" t="s">
        <v>203</v>
      </c>
      <c r="C43" s="105"/>
      <c r="D43" s="105"/>
      <c r="E43" s="105"/>
      <c r="F43" s="105"/>
      <c r="G43" s="106"/>
      <c r="H43" s="106"/>
      <c r="I43" s="106"/>
      <c r="J43" s="106"/>
      <c r="K43" s="106"/>
      <c r="L43" s="106"/>
      <c r="M43" s="106"/>
      <c r="N43" s="106"/>
      <c r="O43" s="106"/>
      <c r="P43" s="106"/>
      <c r="Q43" s="106"/>
      <c r="R43" s="106"/>
      <c r="S43" s="106"/>
      <c r="T43" s="106"/>
      <c r="U43" s="106"/>
    </row>
    <row r="44" spans="1:21" s="95" customFormat="1" ht="79.900000000000006" customHeight="1">
      <c r="A44" s="107"/>
      <c r="B44" s="190" t="s">
        <v>228</v>
      </c>
      <c r="C44" s="114"/>
      <c r="D44" s="114"/>
      <c r="E44" s="114"/>
      <c r="F44" s="114"/>
      <c r="G44" s="115"/>
      <c r="H44" s="115"/>
      <c r="I44" s="115"/>
      <c r="J44" s="115"/>
      <c r="K44" s="115"/>
      <c r="L44" s="115"/>
      <c r="M44" s="115"/>
      <c r="N44" s="115"/>
      <c r="O44" s="115"/>
      <c r="P44" s="115"/>
      <c r="Q44" s="115"/>
      <c r="R44" s="115"/>
      <c r="S44" s="115"/>
      <c r="T44" s="115"/>
      <c r="U44" s="115"/>
    </row>
    <row r="45" spans="1:21" s="93" customFormat="1" ht="49.15" customHeight="1">
      <c r="A45" s="107"/>
      <c r="B45" s="20" t="s">
        <v>196</v>
      </c>
      <c r="C45" s="109"/>
      <c r="D45" s="109"/>
      <c r="E45" s="109"/>
      <c r="F45" s="109"/>
      <c r="G45" s="110"/>
      <c r="H45" s="110"/>
      <c r="I45" s="110"/>
      <c r="J45" s="110"/>
      <c r="K45" s="110"/>
      <c r="L45" s="110"/>
      <c r="M45" s="110"/>
      <c r="N45" s="110"/>
      <c r="O45" s="110"/>
      <c r="P45" s="110"/>
      <c r="Q45" s="110"/>
      <c r="R45" s="110"/>
      <c r="S45" s="110"/>
      <c r="T45" s="110"/>
      <c r="U45" s="110"/>
    </row>
    <row r="46" spans="1:21" s="95" customFormat="1" ht="46.15" customHeight="1">
      <c r="A46" s="107"/>
      <c r="B46" s="190" t="s">
        <v>200</v>
      </c>
      <c r="C46" s="114"/>
      <c r="D46" s="114"/>
      <c r="E46" s="114"/>
      <c r="F46" s="114"/>
      <c r="G46" s="115"/>
      <c r="H46" s="115"/>
      <c r="I46" s="115"/>
      <c r="J46" s="115"/>
      <c r="K46" s="115"/>
      <c r="L46" s="115"/>
      <c r="M46" s="115"/>
      <c r="N46" s="115"/>
      <c r="O46" s="115"/>
      <c r="P46" s="115"/>
      <c r="Q46" s="115"/>
      <c r="R46" s="115"/>
      <c r="S46" s="115"/>
      <c r="T46" s="115"/>
      <c r="U46" s="115"/>
    </row>
    <row r="47" spans="1:21" s="93" customFormat="1" ht="55.15" customHeight="1">
      <c r="A47" s="107"/>
      <c r="B47" s="20" t="s">
        <v>196</v>
      </c>
      <c r="C47" s="109"/>
      <c r="D47" s="109"/>
      <c r="E47" s="109"/>
      <c r="F47" s="109"/>
      <c r="G47" s="110"/>
      <c r="H47" s="110"/>
      <c r="I47" s="110"/>
      <c r="J47" s="110"/>
      <c r="K47" s="110"/>
      <c r="L47" s="110"/>
      <c r="M47" s="110"/>
      <c r="N47" s="110"/>
      <c r="O47" s="110"/>
      <c r="P47" s="110"/>
      <c r="Q47" s="110"/>
      <c r="R47" s="110"/>
      <c r="S47" s="110"/>
      <c r="T47" s="110"/>
      <c r="U47" s="110"/>
    </row>
    <row r="48" spans="1:21" ht="43.15" customHeight="1">
      <c r="A48" s="15" t="s">
        <v>109</v>
      </c>
      <c r="B48" s="17" t="s">
        <v>239</v>
      </c>
      <c r="C48" s="105"/>
      <c r="D48" s="105"/>
      <c r="E48" s="105"/>
      <c r="F48" s="105"/>
      <c r="G48" s="106"/>
      <c r="H48" s="106"/>
      <c r="I48" s="106"/>
      <c r="J48" s="106"/>
      <c r="K48" s="106"/>
      <c r="L48" s="106"/>
      <c r="M48" s="106"/>
      <c r="N48" s="106"/>
      <c r="O48" s="106"/>
      <c r="P48" s="106"/>
      <c r="Q48" s="106"/>
      <c r="R48" s="106"/>
      <c r="S48" s="106"/>
      <c r="T48" s="121"/>
      <c r="U48" s="121"/>
    </row>
    <row r="49" spans="1:21" s="94" customFormat="1" ht="51" customHeight="1">
      <c r="A49" s="111"/>
      <c r="B49" s="20" t="s">
        <v>206</v>
      </c>
      <c r="C49" s="105"/>
      <c r="D49" s="105"/>
      <c r="E49" s="105"/>
      <c r="F49" s="105"/>
      <c r="G49" s="106"/>
      <c r="H49" s="106"/>
      <c r="I49" s="106"/>
      <c r="J49" s="106"/>
      <c r="K49" s="106"/>
      <c r="L49" s="106"/>
      <c r="M49" s="106"/>
      <c r="N49" s="106"/>
      <c r="O49" s="106"/>
      <c r="P49" s="106"/>
      <c r="Q49" s="106"/>
      <c r="R49" s="106"/>
      <c r="S49" s="113"/>
      <c r="T49" s="123"/>
      <c r="U49" s="123"/>
    </row>
    <row r="50" spans="1:21" s="94" customFormat="1" ht="7.15" customHeight="1">
      <c r="A50" s="152"/>
      <c r="B50" s="153"/>
      <c r="C50" s="154"/>
      <c r="D50" s="154"/>
      <c r="E50" s="154"/>
      <c r="F50" s="154"/>
      <c r="G50" s="155"/>
      <c r="H50" s="155"/>
      <c r="I50" s="155"/>
      <c r="J50" s="155"/>
      <c r="K50" s="155"/>
      <c r="L50" s="155"/>
      <c r="M50" s="155"/>
      <c r="N50" s="155"/>
      <c r="O50" s="155"/>
      <c r="P50" s="155"/>
      <c r="Q50" s="155"/>
      <c r="R50" s="155"/>
      <c r="S50" s="170"/>
    </row>
    <row r="51" spans="1:21" s="95" customFormat="1" ht="35.65" customHeight="1">
      <c r="A51" s="162"/>
      <c r="B51" s="1262"/>
      <c r="C51" s="1262"/>
      <c r="D51" s="1262"/>
      <c r="E51" s="1262"/>
      <c r="F51" s="1262"/>
      <c r="G51" s="1262"/>
      <c r="H51" s="1262"/>
      <c r="I51" s="1262"/>
      <c r="J51" s="1262"/>
      <c r="K51" s="1262"/>
      <c r="L51" s="1262"/>
      <c r="M51" s="1262"/>
      <c r="N51" s="1262"/>
      <c r="O51" s="1262"/>
      <c r="P51" s="1262"/>
      <c r="Q51" s="1262"/>
      <c r="R51" s="1262"/>
      <c r="S51" s="1262"/>
    </row>
    <row r="52" spans="1:21" ht="0.75" customHeight="1">
      <c r="C52" s="133"/>
      <c r="D52" s="133"/>
      <c r="E52" s="133"/>
      <c r="F52" s="133"/>
      <c r="G52" s="133"/>
      <c r="H52" s="133"/>
      <c r="I52" s="133"/>
      <c r="J52" s="133"/>
      <c r="K52" s="133"/>
      <c r="L52" s="133"/>
      <c r="M52" s="133"/>
      <c r="N52" s="133"/>
      <c r="O52" s="133"/>
      <c r="P52" s="133"/>
      <c r="Q52" s="133"/>
      <c r="R52" s="133"/>
    </row>
    <row r="53" spans="1:21" s="157" customFormat="1" ht="25.5" customHeight="1">
      <c r="A53" s="145"/>
      <c r="C53" s="154"/>
      <c r="D53" s="154"/>
      <c r="E53" s="154"/>
      <c r="F53" s="154"/>
      <c r="G53" s="155"/>
      <c r="H53" s="155"/>
      <c r="I53" s="106"/>
      <c r="J53" s="106"/>
      <c r="K53" s="106"/>
      <c r="L53" s="106"/>
      <c r="M53" s="106"/>
      <c r="N53" s="106"/>
      <c r="O53" s="106"/>
      <c r="P53" s="106"/>
      <c r="Q53" s="106"/>
      <c r="R53" s="106"/>
    </row>
    <row r="54" spans="1:21" s="157" customFormat="1" ht="25.5" customHeight="1">
      <c r="A54" s="145"/>
      <c r="C54" s="134"/>
      <c r="D54" s="134"/>
      <c r="E54" s="134"/>
      <c r="F54" s="134"/>
      <c r="G54" s="26"/>
      <c r="H54" s="26"/>
      <c r="I54" s="110"/>
      <c r="J54" s="110"/>
      <c r="K54" s="110"/>
      <c r="L54" s="110"/>
      <c r="M54" s="110"/>
      <c r="N54" s="110"/>
      <c r="O54" s="110"/>
      <c r="P54" s="110"/>
      <c r="Q54" s="110"/>
      <c r="R54" s="110"/>
    </row>
    <row r="55" spans="1:21" s="157" customFormat="1" ht="25.5" customHeight="1">
      <c r="A55" s="145"/>
      <c r="C55" s="134"/>
      <c r="D55" s="134"/>
      <c r="E55" s="134"/>
      <c r="F55" s="134"/>
      <c r="G55" s="26"/>
      <c r="H55" s="26"/>
      <c r="I55" s="106"/>
      <c r="J55" s="106"/>
      <c r="K55" s="106"/>
      <c r="L55" s="106"/>
      <c r="M55" s="106"/>
      <c r="N55" s="106"/>
      <c r="O55" s="106"/>
      <c r="P55" s="106"/>
      <c r="Q55" s="106"/>
      <c r="R55" s="106"/>
    </row>
    <row r="56" spans="1:21" s="157" customFormat="1" ht="25.5" customHeight="1">
      <c r="A56" s="145"/>
      <c r="C56" s="134"/>
      <c r="D56" s="134"/>
      <c r="E56" s="134"/>
      <c r="F56" s="134"/>
      <c r="G56" s="26"/>
      <c r="H56" s="26"/>
      <c r="I56" s="106"/>
      <c r="J56" s="106"/>
      <c r="K56" s="106"/>
      <c r="L56" s="106"/>
      <c r="M56" s="106"/>
      <c r="N56" s="106"/>
      <c r="O56" s="106"/>
      <c r="P56" s="106"/>
      <c r="Q56" s="106"/>
      <c r="R56" s="106"/>
    </row>
    <row r="57" spans="1:21" s="157" customFormat="1" ht="25.5" customHeight="1">
      <c r="A57" s="145"/>
      <c r="C57" s="134"/>
      <c r="D57" s="134"/>
      <c r="E57" s="134"/>
      <c r="F57" s="134"/>
      <c r="G57" s="26"/>
      <c r="H57" s="26"/>
      <c r="I57" s="106"/>
      <c r="J57" s="106"/>
      <c r="K57" s="106"/>
      <c r="L57" s="106"/>
      <c r="M57" s="106"/>
      <c r="N57" s="106"/>
      <c r="O57" s="106"/>
      <c r="P57" s="106"/>
      <c r="Q57" s="106"/>
      <c r="R57" s="106"/>
    </row>
    <row r="58" spans="1:21" s="157" customFormat="1" ht="25.5" customHeight="1">
      <c r="A58" s="145"/>
      <c r="C58" s="134"/>
      <c r="D58" s="134"/>
      <c r="E58" s="134"/>
      <c r="F58" s="134"/>
      <c r="G58" s="26"/>
      <c r="H58" s="26"/>
      <c r="I58" s="106"/>
      <c r="J58" s="106"/>
      <c r="K58" s="106"/>
      <c r="L58" s="106"/>
      <c r="M58" s="106"/>
      <c r="N58" s="106"/>
      <c r="O58" s="106"/>
      <c r="P58" s="106"/>
      <c r="Q58" s="106"/>
      <c r="R58" s="106"/>
    </row>
    <row r="59" spans="1:21" s="157" customFormat="1" ht="25.5" customHeight="1">
      <c r="A59" s="145"/>
      <c r="C59" s="134"/>
      <c r="D59" s="134"/>
      <c r="E59" s="134"/>
      <c r="F59" s="134"/>
      <c r="G59" s="26"/>
      <c r="H59" s="26"/>
      <c r="I59" s="155"/>
      <c r="J59" s="155"/>
      <c r="K59" s="155"/>
      <c r="L59" s="155"/>
      <c r="M59" s="155"/>
      <c r="N59" s="155"/>
      <c r="O59" s="155"/>
      <c r="P59" s="155"/>
      <c r="Q59" s="155"/>
      <c r="R59" s="155"/>
    </row>
    <row r="60" spans="1:21" s="157" customFormat="1" ht="25.5" customHeight="1">
      <c r="A60" s="145"/>
      <c r="C60" s="134"/>
      <c r="D60" s="134"/>
      <c r="E60" s="134"/>
      <c r="F60" s="134"/>
      <c r="G60" s="26"/>
      <c r="H60" s="26"/>
      <c r="I60" s="26"/>
      <c r="J60" s="26"/>
      <c r="K60" s="26"/>
      <c r="L60" s="26"/>
      <c r="M60" s="26"/>
      <c r="N60" s="26"/>
      <c r="O60" s="26"/>
      <c r="P60" s="26"/>
      <c r="Q60" s="26"/>
      <c r="R60" s="26"/>
    </row>
    <row r="61" spans="1:21" s="157" customFormat="1" ht="25.5" customHeight="1">
      <c r="A61" s="145"/>
      <c r="C61" s="134"/>
      <c r="D61" s="134"/>
      <c r="E61" s="134"/>
      <c r="F61" s="134"/>
      <c r="G61" s="26"/>
      <c r="H61" s="26"/>
      <c r="I61" s="26"/>
      <c r="J61" s="26"/>
      <c r="K61" s="26"/>
      <c r="L61" s="26"/>
      <c r="M61" s="26"/>
      <c r="N61" s="26"/>
      <c r="O61" s="26"/>
      <c r="P61" s="26"/>
      <c r="Q61" s="26"/>
      <c r="R61" s="26"/>
    </row>
    <row r="62" spans="1:21" s="157" customFormat="1" ht="25.5" customHeight="1">
      <c r="A62" s="145"/>
      <c r="C62" s="134"/>
      <c r="D62" s="134"/>
      <c r="E62" s="134"/>
      <c r="F62" s="134"/>
      <c r="G62" s="26"/>
      <c r="H62" s="26"/>
      <c r="I62" s="26"/>
      <c r="J62" s="26"/>
      <c r="K62" s="26"/>
      <c r="L62" s="26"/>
      <c r="M62" s="26"/>
      <c r="N62" s="26"/>
      <c r="O62" s="26"/>
      <c r="P62" s="26"/>
      <c r="Q62" s="26"/>
      <c r="R62" s="26"/>
    </row>
    <row r="63" spans="1:21" s="157" customFormat="1" ht="25.5" customHeight="1">
      <c r="A63" s="145"/>
      <c r="C63" s="134"/>
      <c r="D63" s="134"/>
      <c r="E63" s="134"/>
      <c r="F63" s="134"/>
      <c r="G63" s="26"/>
      <c r="H63" s="26"/>
      <c r="I63" s="26"/>
      <c r="J63" s="26"/>
      <c r="K63" s="26"/>
      <c r="L63" s="26"/>
      <c r="M63" s="26"/>
      <c r="N63" s="26"/>
      <c r="O63" s="26"/>
      <c r="P63" s="26"/>
      <c r="Q63" s="26"/>
      <c r="R63" s="26"/>
    </row>
    <row r="64" spans="1:21" s="157" customFormat="1" ht="25.5" hidden="1" customHeight="1">
      <c r="A64" s="145"/>
      <c r="C64" s="134"/>
      <c r="D64" s="134"/>
      <c r="E64" s="134"/>
      <c r="F64" s="134"/>
      <c r="G64" s="26"/>
      <c r="H64" s="26"/>
      <c r="I64" s="26"/>
      <c r="J64" s="26"/>
      <c r="K64" s="26"/>
      <c r="L64" s="26"/>
      <c r="M64" s="26"/>
      <c r="N64" s="26"/>
      <c r="O64" s="26"/>
      <c r="P64" s="26"/>
      <c r="Q64" s="26"/>
      <c r="R64" s="26"/>
    </row>
    <row r="65" spans="1:31" s="157" customFormat="1" ht="25.5" hidden="1" customHeight="1">
      <c r="A65" s="145"/>
      <c r="C65" s="134"/>
      <c r="D65" s="134"/>
      <c r="E65" s="134"/>
      <c r="F65" s="134"/>
      <c r="G65" s="26"/>
      <c r="H65" s="26"/>
      <c r="I65" s="26"/>
      <c r="J65" s="26"/>
      <c r="K65" s="26"/>
      <c r="L65" s="26"/>
      <c r="M65" s="26"/>
      <c r="N65" s="26"/>
      <c r="O65" s="26"/>
      <c r="P65" s="26"/>
      <c r="Q65" s="26"/>
      <c r="R65" s="26"/>
    </row>
    <row r="66" spans="1:31" s="157" customFormat="1" ht="25.5" hidden="1" customHeight="1">
      <c r="C66" s="134"/>
      <c r="D66" s="134"/>
      <c r="E66" s="134"/>
      <c r="F66" s="134"/>
      <c r="G66" s="26"/>
      <c r="H66" s="26"/>
      <c r="I66" s="26"/>
      <c r="J66" s="26"/>
      <c r="K66" s="26"/>
      <c r="L66" s="26"/>
      <c r="M66" s="26"/>
      <c r="N66" s="26"/>
      <c r="O66" s="26"/>
      <c r="P66" s="26"/>
      <c r="Q66" s="26"/>
      <c r="R66" s="26"/>
    </row>
    <row r="67" spans="1:31" s="157" customFormat="1" ht="25.5" hidden="1" customHeight="1"/>
    <row r="68" spans="1:31" s="157" customFormat="1" ht="25.5" hidden="1" customHeight="1">
      <c r="A68" s="145"/>
      <c r="C68" s="134"/>
      <c r="D68" s="134"/>
      <c r="E68" s="134"/>
      <c r="F68" s="134"/>
      <c r="G68" s="26"/>
      <c r="H68" s="26"/>
      <c r="I68" s="26"/>
      <c r="J68" s="26"/>
      <c r="K68" s="26"/>
      <c r="L68" s="26"/>
      <c r="M68" s="26"/>
      <c r="N68" s="26"/>
      <c r="O68" s="26"/>
      <c r="P68" s="26"/>
      <c r="Q68" s="26"/>
      <c r="R68" s="26"/>
    </row>
    <row r="69" spans="1:31" s="157" customFormat="1" ht="25.5" hidden="1" customHeight="1">
      <c r="C69" s="134"/>
      <c r="D69" s="134"/>
      <c r="E69" s="134"/>
      <c r="F69" s="134"/>
      <c r="G69" s="26"/>
      <c r="H69" s="26"/>
      <c r="I69" s="26"/>
      <c r="J69" s="26"/>
      <c r="K69" s="26"/>
      <c r="L69" s="26"/>
      <c r="M69" s="26"/>
      <c r="N69" s="26"/>
      <c r="O69" s="26"/>
      <c r="P69" s="26"/>
      <c r="Q69" s="26"/>
      <c r="R69" s="26"/>
    </row>
    <row r="70" spans="1:31" s="157" customFormat="1" ht="25.5" hidden="1" customHeight="1">
      <c r="C70" s="134"/>
      <c r="D70" s="134"/>
      <c r="E70" s="134"/>
      <c r="F70" s="134"/>
      <c r="G70" s="26"/>
      <c r="H70" s="26"/>
      <c r="I70" s="26"/>
      <c r="J70" s="26"/>
      <c r="K70" s="26"/>
      <c r="L70" s="26"/>
      <c r="M70" s="26"/>
      <c r="N70" s="26"/>
      <c r="O70" s="26"/>
      <c r="P70" s="26"/>
      <c r="Q70" s="26"/>
      <c r="R70" s="26"/>
    </row>
    <row r="71" spans="1:31" s="157" customFormat="1" ht="25.5" hidden="1" customHeight="1">
      <c r="C71" s="92"/>
      <c r="D71" s="92"/>
      <c r="E71" s="92"/>
      <c r="F71" s="92"/>
      <c r="G71" s="92"/>
      <c r="H71" s="92"/>
      <c r="I71" s="26"/>
      <c r="J71" s="26"/>
      <c r="K71" s="26"/>
      <c r="L71" s="26"/>
      <c r="M71" s="26"/>
      <c r="N71" s="26"/>
      <c r="O71" s="26"/>
      <c r="P71" s="26"/>
      <c r="Q71" s="26"/>
      <c r="R71" s="26"/>
    </row>
    <row r="72" spans="1:31" s="157" customFormat="1" ht="25.5" hidden="1" customHeight="1">
      <c r="C72" s="92"/>
      <c r="D72" s="92"/>
      <c r="E72" s="92"/>
      <c r="F72" s="92"/>
      <c r="G72" s="92"/>
      <c r="H72" s="92"/>
      <c r="I72" s="26"/>
      <c r="J72" s="26"/>
      <c r="K72" s="26"/>
      <c r="L72" s="26"/>
      <c r="M72" s="26"/>
      <c r="N72" s="26"/>
      <c r="O72" s="26"/>
      <c r="P72" s="26"/>
      <c r="Q72" s="26"/>
      <c r="R72" s="26"/>
    </row>
    <row r="73" spans="1:31" s="157" customFormat="1" ht="25.5" hidden="1" customHeight="1">
      <c r="C73" s="92"/>
      <c r="D73" s="92"/>
      <c r="E73" s="92"/>
      <c r="F73" s="92"/>
      <c r="G73" s="92"/>
      <c r="H73" s="92"/>
      <c r="I73" s="113"/>
      <c r="J73" s="113"/>
      <c r="K73" s="113"/>
      <c r="L73" s="113"/>
      <c r="M73" s="113"/>
      <c r="N73" s="113"/>
      <c r="O73" s="113"/>
      <c r="P73" s="113"/>
      <c r="Q73" s="113"/>
      <c r="R73" s="113"/>
    </row>
    <row r="74" spans="1:31" ht="19.899999999999999" customHeight="1">
      <c r="B74" s="1249"/>
      <c r="C74" s="1249"/>
      <c r="D74" s="1249"/>
      <c r="E74" s="1249"/>
      <c r="F74" s="1249"/>
      <c r="G74" s="1249"/>
      <c r="H74" s="1249"/>
      <c r="I74" s="1249"/>
      <c r="J74" s="1249"/>
      <c r="K74" s="1249"/>
      <c r="L74" s="1249"/>
      <c r="M74" s="1249"/>
      <c r="N74" s="1249"/>
      <c r="O74" s="156"/>
      <c r="P74" s="156"/>
      <c r="Q74" s="156"/>
      <c r="R74" s="156"/>
    </row>
    <row r="75" spans="1:31" ht="19.899999999999999" customHeight="1">
      <c r="C75" s="92"/>
      <c r="D75" s="92"/>
      <c r="E75" s="92"/>
      <c r="F75" s="92"/>
      <c r="G75" s="92"/>
      <c r="H75" s="92"/>
      <c r="I75" s="92"/>
      <c r="J75" s="92"/>
      <c r="K75" s="156"/>
      <c r="L75" s="156"/>
      <c r="M75" s="156"/>
      <c r="N75" s="156"/>
      <c r="O75" s="156"/>
      <c r="P75" s="156"/>
      <c r="Q75" s="156"/>
      <c r="R75" s="156"/>
    </row>
    <row r="76" spans="1:31" ht="19.899999999999999" customHeight="1">
      <c r="C76" s="92"/>
      <c r="D76" s="92"/>
      <c r="E76" s="92"/>
      <c r="F76" s="92"/>
      <c r="G76" s="92"/>
      <c r="H76" s="92"/>
    </row>
    <row r="77" spans="1:31" ht="19.899999999999999" customHeight="1">
      <c r="C77" s="92"/>
      <c r="D77" s="92"/>
      <c r="E77" s="92"/>
      <c r="F77" s="92"/>
      <c r="G77" s="92"/>
      <c r="H77" s="92"/>
    </row>
    <row r="78" spans="1:31" ht="19.899999999999999" customHeight="1">
      <c r="C78" s="92"/>
      <c r="D78" s="92"/>
      <c r="E78" s="92"/>
      <c r="F78" s="92"/>
      <c r="G78" s="92"/>
      <c r="H78" s="92"/>
    </row>
    <row r="79" spans="1:31" ht="19.899999999999999" customHeight="1">
      <c r="C79" s="92"/>
      <c r="D79" s="92"/>
      <c r="E79" s="92"/>
      <c r="F79" s="92"/>
      <c r="G79" s="92"/>
      <c r="H79" s="92"/>
      <c r="I79" s="92"/>
      <c r="J79" s="92"/>
      <c r="K79" s="92"/>
      <c r="L79" s="92"/>
      <c r="M79" s="92"/>
      <c r="N79" s="92"/>
      <c r="O79" s="92"/>
      <c r="P79" s="92"/>
      <c r="Q79" s="92"/>
      <c r="R79" s="92"/>
    </row>
    <row r="80" spans="1:31" s="26" customFormat="1" ht="19.899999999999999" customHeight="1">
      <c r="A80" s="145"/>
      <c r="B80" s="133"/>
      <c r="C80" s="92"/>
      <c r="D80" s="92"/>
      <c r="E80" s="92"/>
      <c r="F80" s="92"/>
      <c r="G80" s="92"/>
      <c r="H80" s="92"/>
      <c r="I80" s="92"/>
      <c r="J80" s="92"/>
      <c r="K80" s="92"/>
      <c r="L80" s="92"/>
      <c r="M80" s="92"/>
      <c r="N80" s="92"/>
      <c r="O80" s="92"/>
      <c r="P80" s="92"/>
      <c r="Q80" s="92"/>
      <c r="R80" s="92"/>
      <c r="T80" s="92"/>
      <c r="U80" s="92"/>
      <c r="V80" s="92"/>
      <c r="W80" s="92"/>
      <c r="X80" s="92"/>
      <c r="Y80" s="92"/>
      <c r="Z80" s="92"/>
      <c r="AA80" s="92"/>
      <c r="AB80" s="92"/>
      <c r="AC80" s="92"/>
      <c r="AD80" s="92"/>
      <c r="AE80" s="92"/>
    </row>
    <row r="81" spans="1:31" s="26" customFormat="1" ht="19.899999999999999" customHeight="1">
      <c r="A81" s="145"/>
      <c r="B81" s="133"/>
      <c r="C81" s="92"/>
      <c r="D81" s="92"/>
      <c r="E81" s="92"/>
      <c r="F81" s="92"/>
      <c r="G81" s="92"/>
      <c r="H81" s="92"/>
      <c r="I81" s="92"/>
      <c r="J81" s="92"/>
      <c r="K81" s="92"/>
      <c r="L81" s="92"/>
      <c r="M81" s="92"/>
      <c r="N81" s="92"/>
      <c r="O81" s="92"/>
      <c r="P81" s="92"/>
      <c r="Q81" s="92"/>
      <c r="R81" s="92"/>
      <c r="T81" s="92"/>
      <c r="U81" s="92"/>
      <c r="V81" s="92"/>
      <c r="W81" s="92"/>
      <c r="X81" s="92"/>
      <c r="Y81" s="92"/>
      <c r="Z81" s="92"/>
      <c r="AA81" s="92"/>
      <c r="AB81" s="92"/>
      <c r="AC81" s="92"/>
      <c r="AD81" s="92"/>
      <c r="AE81" s="92"/>
    </row>
    <row r="82" spans="1:31" s="26" customFormat="1" ht="19.899999999999999" customHeight="1">
      <c r="A82" s="145"/>
      <c r="B82" s="133"/>
      <c r="C82" s="92"/>
      <c r="D82" s="92"/>
      <c r="E82" s="92"/>
      <c r="F82" s="92"/>
      <c r="G82" s="92"/>
      <c r="H82" s="92"/>
      <c r="I82" s="92"/>
      <c r="J82" s="92"/>
      <c r="K82" s="92"/>
      <c r="L82" s="92"/>
      <c r="M82" s="92"/>
      <c r="N82" s="92"/>
      <c r="O82" s="92"/>
      <c r="P82" s="92"/>
      <c r="Q82" s="92"/>
      <c r="R82" s="92"/>
      <c r="T82" s="92"/>
      <c r="U82" s="92"/>
      <c r="V82" s="92"/>
      <c r="W82" s="92"/>
      <c r="X82" s="92"/>
      <c r="Y82" s="92"/>
      <c r="Z82" s="92"/>
      <c r="AA82" s="92"/>
      <c r="AB82" s="92"/>
      <c r="AC82" s="92"/>
      <c r="AD82" s="92"/>
      <c r="AE82" s="92"/>
    </row>
    <row r="83" spans="1:31" s="26" customFormat="1" ht="19.899999999999999" customHeight="1">
      <c r="A83" s="145"/>
      <c r="B83" s="133"/>
      <c r="C83" s="92"/>
      <c r="D83" s="92"/>
      <c r="E83" s="92"/>
      <c r="F83" s="92"/>
      <c r="G83" s="92"/>
      <c r="H83" s="92"/>
      <c r="I83" s="92"/>
      <c r="J83" s="92"/>
      <c r="K83" s="92"/>
      <c r="L83" s="92"/>
      <c r="M83" s="92"/>
      <c r="N83" s="92"/>
      <c r="O83" s="92"/>
      <c r="P83" s="92"/>
      <c r="Q83" s="92"/>
      <c r="R83" s="92"/>
      <c r="T83" s="92"/>
      <c r="U83" s="92"/>
      <c r="V83" s="92"/>
      <c r="W83" s="92"/>
      <c r="X83" s="92"/>
      <c r="Y83" s="92"/>
      <c r="Z83" s="92"/>
      <c r="AA83" s="92"/>
      <c r="AB83" s="92"/>
      <c r="AC83" s="92"/>
      <c r="AD83" s="92"/>
      <c r="AE83" s="92"/>
    </row>
    <row r="84" spans="1:31" s="26" customFormat="1" ht="19.899999999999999" customHeight="1">
      <c r="A84" s="145"/>
      <c r="B84" s="133"/>
      <c r="C84" s="92"/>
      <c r="D84" s="92"/>
      <c r="E84" s="92"/>
      <c r="F84" s="92"/>
      <c r="G84" s="92"/>
      <c r="H84" s="92"/>
      <c r="I84" s="92"/>
      <c r="J84" s="92"/>
      <c r="K84" s="92"/>
      <c r="L84" s="92"/>
      <c r="M84" s="92"/>
      <c r="N84" s="92"/>
      <c r="O84" s="92"/>
      <c r="P84" s="92"/>
      <c r="Q84" s="92"/>
      <c r="R84" s="92"/>
      <c r="T84" s="92"/>
      <c r="U84" s="92"/>
      <c r="V84" s="92"/>
      <c r="W84" s="92"/>
      <c r="X84" s="92"/>
      <c r="Y84" s="92"/>
      <c r="Z84" s="92"/>
      <c r="AA84" s="92"/>
      <c r="AB84" s="92"/>
      <c r="AC84" s="92"/>
      <c r="AD84" s="92"/>
      <c r="AE84" s="92"/>
    </row>
    <row r="85" spans="1:31" s="26" customFormat="1" ht="19.899999999999999" customHeight="1">
      <c r="A85" s="145"/>
      <c r="B85" s="133"/>
      <c r="C85" s="92"/>
      <c r="D85" s="92"/>
      <c r="E85" s="92"/>
      <c r="F85" s="92"/>
      <c r="G85" s="92"/>
      <c r="H85" s="92"/>
      <c r="I85" s="92"/>
      <c r="J85" s="92"/>
      <c r="K85" s="92"/>
      <c r="L85" s="92"/>
      <c r="M85" s="92"/>
      <c r="N85" s="92"/>
      <c r="O85" s="92"/>
      <c r="P85" s="92"/>
      <c r="Q85" s="92"/>
      <c r="R85" s="92"/>
      <c r="T85" s="92"/>
      <c r="U85" s="92"/>
      <c r="V85" s="92"/>
      <c r="W85" s="92"/>
      <c r="X85" s="92"/>
      <c r="Y85" s="92"/>
      <c r="Z85" s="92"/>
      <c r="AA85" s="92"/>
      <c r="AB85" s="92"/>
      <c r="AC85" s="92"/>
      <c r="AD85" s="92"/>
      <c r="AE85" s="92"/>
    </row>
    <row r="86" spans="1:31" s="26" customFormat="1" ht="19.899999999999999" customHeight="1">
      <c r="A86" s="145"/>
      <c r="B86" s="133"/>
      <c r="C86" s="92"/>
      <c r="D86" s="92"/>
      <c r="E86" s="92"/>
      <c r="F86" s="92"/>
      <c r="G86" s="92"/>
      <c r="H86" s="92"/>
      <c r="I86" s="92"/>
      <c r="J86" s="92"/>
      <c r="K86" s="92"/>
      <c r="L86" s="92"/>
      <c r="M86" s="92"/>
      <c r="N86" s="92"/>
      <c r="O86" s="92"/>
      <c r="P86" s="92"/>
      <c r="Q86" s="92"/>
      <c r="R86" s="92"/>
      <c r="T86" s="92"/>
      <c r="U86" s="92"/>
      <c r="V86" s="92"/>
      <c r="W86" s="92"/>
      <c r="X86" s="92"/>
      <c r="Y86" s="92"/>
      <c r="Z86" s="92"/>
      <c r="AA86" s="92"/>
      <c r="AB86" s="92"/>
      <c r="AC86" s="92"/>
      <c r="AD86" s="92"/>
      <c r="AE86" s="92"/>
    </row>
    <row r="87" spans="1:31" s="26" customFormat="1" ht="19.899999999999999" customHeight="1">
      <c r="A87" s="145"/>
      <c r="B87" s="133"/>
      <c r="C87" s="92"/>
      <c r="D87" s="92"/>
      <c r="E87" s="92"/>
      <c r="F87" s="92"/>
      <c r="G87" s="92"/>
      <c r="H87" s="92"/>
      <c r="I87" s="92"/>
      <c r="J87" s="92"/>
      <c r="K87" s="92"/>
      <c r="L87" s="92"/>
      <c r="M87" s="92"/>
      <c r="N87" s="92"/>
      <c r="O87" s="92"/>
      <c r="P87" s="92"/>
      <c r="Q87" s="92"/>
      <c r="R87" s="92"/>
      <c r="T87" s="92"/>
      <c r="U87" s="92"/>
      <c r="V87" s="92"/>
      <c r="W87" s="92"/>
      <c r="X87" s="92"/>
      <c r="Y87" s="92"/>
      <c r="Z87" s="92"/>
      <c r="AA87" s="92"/>
      <c r="AB87" s="92"/>
      <c r="AC87" s="92"/>
      <c r="AD87" s="92"/>
      <c r="AE87" s="92"/>
    </row>
    <row r="88" spans="1:31" s="26" customFormat="1" ht="19.899999999999999" customHeight="1">
      <c r="A88" s="145"/>
      <c r="B88" s="133"/>
      <c r="C88" s="92"/>
      <c r="D88" s="92"/>
      <c r="E88" s="92"/>
      <c r="F88" s="92"/>
      <c r="G88" s="92"/>
      <c r="H88" s="92"/>
      <c r="I88" s="92"/>
      <c r="J88" s="92"/>
      <c r="K88" s="92"/>
      <c r="L88" s="92"/>
      <c r="M88" s="92"/>
      <c r="N88" s="92"/>
      <c r="O88" s="92"/>
      <c r="P88" s="92"/>
      <c r="Q88" s="92"/>
      <c r="R88" s="92"/>
      <c r="T88" s="92"/>
      <c r="U88" s="92"/>
      <c r="V88" s="92"/>
      <c r="W88" s="92"/>
      <c r="X88" s="92"/>
      <c r="Y88" s="92"/>
      <c r="Z88" s="92"/>
      <c r="AA88" s="92"/>
      <c r="AB88" s="92"/>
      <c r="AC88" s="92"/>
      <c r="AD88" s="92"/>
      <c r="AE88" s="92"/>
    </row>
    <row r="89" spans="1:31" s="26" customFormat="1">
      <c r="A89" s="145"/>
      <c r="B89" s="133"/>
      <c r="C89" s="92"/>
      <c r="D89" s="92"/>
      <c r="E89" s="92"/>
      <c r="F89" s="92"/>
      <c r="G89" s="92"/>
      <c r="H89" s="92"/>
      <c r="I89" s="92"/>
      <c r="J89" s="92"/>
      <c r="K89" s="92"/>
      <c r="L89" s="92"/>
      <c r="M89" s="92"/>
      <c r="N89" s="92"/>
      <c r="O89" s="92"/>
      <c r="P89" s="92"/>
      <c r="Q89" s="92"/>
      <c r="R89" s="92"/>
      <c r="T89" s="92"/>
      <c r="U89" s="92"/>
      <c r="V89" s="92"/>
      <c r="W89" s="92"/>
      <c r="X89" s="92"/>
      <c r="Y89" s="92"/>
      <c r="Z89" s="92"/>
      <c r="AA89" s="92"/>
      <c r="AB89" s="92"/>
      <c r="AC89" s="92"/>
      <c r="AD89" s="92"/>
      <c r="AE89" s="92"/>
    </row>
    <row r="90" spans="1:31" s="26" customFormat="1">
      <c r="A90" s="145"/>
      <c r="B90" s="133"/>
      <c r="C90" s="92"/>
      <c r="D90" s="92"/>
      <c r="E90" s="92"/>
      <c r="F90" s="92"/>
      <c r="G90" s="92"/>
      <c r="H90" s="92"/>
      <c r="I90" s="92"/>
      <c r="J90" s="92"/>
      <c r="K90" s="92"/>
      <c r="L90" s="92"/>
      <c r="M90" s="92"/>
      <c r="N90" s="92"/>
      <c r="O90" s="92"/>
      <c r="P90" s="92"/>
      <c r="Q90" s="92"/>
      <c r="R90" s="92"/>
      <c r="T90" s="92"/>
      <c r="U90" s="92"/>
      <c r="V90" s="92"/>
      <c r="W90" s="92"/>
      <c r="X90" s="92"/>
      <c r="Y90" s="92"/>
      <c r="Z90" s="92"/>
      <c r="AA90" s="92"/>
      <c r="AB90" s="92"/>
      <c r="AC90" s="92"/>
      <c r="AD90" s="92"/>
      <c r="AE90" s="92"/>
    </row>
    <row r="91" spans="1:31" s="26" customFormat="1">
      <c r="A91" s="145"/>
      <c r="B91" s="133"/>
      <c r="C91" s="92"/>
      <c r="D91" s="92"/>
      <c r="E91" s="92"/>
      <c r="F91" s="92"/>
      <c r="G91" s="92"/>
      <c r="H91" s="92"/>
      <c r="I91" s="92"/>
      <c r="J91" s="92"/>
      <c r="K91" s="92"/>
      <c r="L91" s="92"/>
      <c r="M91" s="92"/>
      <c r="N91" s="92"/>
      <c r="O91" s="92"/>
      <c r="P91" s="92"/>
      <c r="Q91" s="92"/>
      <c r="R91" s="92"/>
      <c r="T91" s="92"/>
      <c r="U91" s="92"/>
      <c r="V91" s="92"/>
      <c r="W91" s="92"/>
      <c r="X91" s="92"/>
      <c r="Y91" s="92"/>
      <c r="Z91" s="92"/>
      <c r="AA91" s="92"/>
      <c r="AB91" s="92"/>
      <c r="AC91" s="92"/>
      <c r="AD91" s="92"/>
      <c r="AE91" s="92"/>
    </row>
    <row r="92" spans="1:31" s="26" customFormat="1">
      <c r="A92" s="145"/>
      <c r="B92" s="133"/>
      <c r="C92" s="92"/>
      <c r="D92" s="92"/>
      <c r="E92" s="92"/>
      <c r="F92" s="92"/>
      <c r="G92" s="92"/>
      <c r="H92" s="92"/>
      <c r="I92" s="92"/>
      <c r="J92" s="92"/>
      <c r="K92" s="92"/>
      <c r="L92" s="92"/>
      <c r="M92" s="92"/>
      <c r="N92" s="92"/>
      <c r="O92" s="92"/>
      <c r="P92" s="92"/>
      <c r="Q92" s="92"/>
      <c r="R92" s="92"/>
      <c r="T92" s="92"/>
      <c r="U92" s="92"/>
      <c r="V92" s="92"/>
      <c r="W92" s="92"/>
      <c r="X92" s="92"/>
      <c r="Y92" s="92"/>
      <c r="Z92" s="92"/>
      <c r="AA92" s="92"/>
      <c r="AB92" s="92"/>
      <c r="AC92" s="92"/>
      <c r="AD92" s="92"/>
      <c r="AE92" s="92"/>
    </row>
    <row r="93" spans="1:31" s="26" customFormat="1">
      <c r="A93" s="145"/>
      <c r="B93" s="133"/>
      <c r="C93" s="92"/>
      <c r="D93" s="92"/>
      <c r="E93" s="92"/>
      <c r="F93" s="92"/>
      <c r="G93" s="92"/>
      <c r="H93" s="92"/>
      <c r="I93" s="92"/>
      <c r="J93" s="92"/>
      <c r="K93" s="92"/>
      <c r="L93" s="92"/>
      <c r="M93" s="92"/>
      <c r="N93" s="92"/>
      <c r="O93" s="92"/>
      <c r="P93" s="92"/>
      <c r="Q93" s="92"/>
      <c r="R93" s="92"/>
      <c r="T93" s="92"/>
      <c r="U93" s="92"/>
      <c r="V93" s="92"/>
      <c r="W93" s="92"/>
      <c r="X93" s="92"/>
      <c r="Y93" s="92"/>
      <c r="Z93" s="92"/>
      <c r="AA93" s="92"/>
      <c r="AB93" s="92"/>
      <c r="AC93" s="92"/>
      <c r="AD93" s="92"/>
      <c r="AE93" s="92"/>
    </row>
    <row r="94" spans="1:31" s="26" customFormat="1">
      <c r="A94" s="145"/>
      <c r="B94" s="133"/>
      <c r="C94" s="92"/>
      <c r="D94" s="92"/>
      <c r="E94" s="92"/>
      <c r="F94" s="92"/>
      <c r="G94" s="92"/>
      <c r="H94" s="92"/>
      <c r="I94" s="92"/>
      <c r="J94" s="92"/>
      <c r="K94" s="92"/>
      <c r="L94" s="92"/>
      <c r="M94" s="92"/>
      <c r="N94" s="92"/>
      <c r="O94" s="92"/>
      <c r="P94" s="92"/>
      <c r="Q94" s="92"/>
      <c r="R94" s="92"/>
      <c r="T94" s="92"/>
      <c r="U94" s="92"/>
      <c r="V94" s="92"/>
      <c r="W94" s="92"/>
      <c r="X94" s="92"/>
      <c r="Y94" s="92"/>
      <c r="Z94" s="92"/>
      <c r="AA94" s="92"/>
      <c r="AB94" s="92"/>
      <c r="AC94" s="92"/>
      <c r="AD94" s="92"/>
      <c r="AE94" s="92"/>
    </row>
    <row r="95" spans="1:31" s="26" customFormat="1">
      <c r="A95" s="145"/>
      <c r="B95" s="133"/>
      <c r="C95" s="92"/>
      <c r="D95" s="92"/>
      <c r="E95" s="92"/>
      <c r="F95" s="92"/>
      <c r="G95" s="92"/>
      <c r="H95" s="92"/>
      <c r="I95" s="92"/>
      <c r="J95" s="92"/>
      <c r="K95" s="92"/>
      <c r="L95" s="92"/>
      <c r="M95" s="92"/>
      <c r="N95" s="92"/>
      <c r="O95" s="92"/>
      <c r="P95" s="92"/>
      <c r="Q95" s="92"/>
      <c r="R95" s="92"/>
      <c r="T95" s="92"/>
      <c r="U95" s="92"/>
      <c r="V95" s="92"/>
      <c r="W95" s="92"/>
      <c r="X95" s="92"/>
      <c r="Y95" s="92"/>
      <c r="Z95" s="92"/>
      <c r="AA95" s="92"/>
      <c r="AB95" s="92"/>
      <c r="AC95" s="92"/>
      <c r="AD95" s="92"/>
      <c r="AE95" s="92"/>
    </row>
    <row r="96" spans="1:31" s="26" customFormat="1">
      <c r="A96" s="145"/>
      <c r="B96" s="133"/>
      <c r="C96" s="92"/>
      <c r="D96" s="92"/>
      <c r="E96" s="92"/>
      <c r="F96" s="92"/>
      <c r="G96" s="92"/>
      <c r="H96" s="92"/>
      <c r="I96" s="92"/>
      <c r="J96" s="92"/>
      <c r="K96" s="92"/>
      <c r="L96" s="92"/>
      <c r="M96" s="92"/>
      <c r="N96" s="92"/>
      <c r="O96" s="92"/>
      <c r="P96" s="92"/>
      <c r="Q96" s="92"/>
      <c r="R96" s="92"/>
      <c r="T96" s="92"/>
      <c r="U96" s="92"/>
      <c r="V96" s="92"/>
      <c r="W96" s="92"/>
      <c r="X96" s="92"/>
      <c r="Y96" s="92"/>
      <c r="Z96" s="92"/>
      <c r="AA96" s="92"/>
      <c r="AB96" s="92"/>
      <c r="AC96" s="92"/>
      <c r="AD96" s="92"/>
      <c r="AE96" s="92"/>
    </row>
    <row r="97" spans="1:31" s="26" customFormat="1">
      <c r="A97" s="145"/>
      <c r="B97" s="133"/>
      <c r="C97" s="92"/>
      <c r="D97" s="92"/>
      <c r="E97" s="92"/>
      <c r="F97" s="92"/>
      <c r="G97" s="92"/>
      <c r="H97" s="92"/>
      <c r="I97" s="92"/>
      <c r="J97" s="92"/>
      <c r="K97" s="92"/>
      <c r="L97" s="92"/>
      <c r="M97" s="92"/>
      <c r="N97" s="92"/>
      <c r="O97" s="92"/>
      <c r="P97" s="92"/>
      <c r="Q97" s="92"/>
      <c r="R97" s="92"/>
      <c r="T97" s="92"/>
      <c r="U97" s="92"/>
      <c r="V97" s="92"/>
      <c r="W97" s="92"/>
      <c r="X97" s="92"/>
      <c r="Y97" s="92"/>
      <c r="Z97" s="92"/>
      <c r="AA97" s="92"/>
      <c r="AB97" s="92"/>
      <c r="AC97" s="92"/>
      <c r="AD97" s="92"/>
      <c r="AE97" s="92"/>
    </row>
    <row r="98" spans="1:31" s="26" customFormat="1">
      <c r="A98" s="145"/>
      <c r="B98" s="133"/>
      <c r="C98" s="92"/>
      <c r="D98" s="92"/>
      <c r="E98" s="92"/>
      <c r="F98" s="92"/>
      <c r="G98" s="92"/>
      <c r="H98" s="92"/>
      <c r="I98" s="92"/>
      <c r="J98" s="92"/>
      <c r="K98" s="92"/>
      <c r="L98" s="92"/>
      <c r="M98" s="92"/>
      <c r="N98" s="92"/>
      <c r="O98" s="92"/>
      <c r="P98" s="92"/>
      <c r="Q98" s="92"/>
      <c r="R98" s="92"/>
      <c r="T98" s="92"/>
      <c r="U98" s="92"/>
      <c r="V98" s="92"/>
      <c r="W98" s="92"/>
      <c r="X98" s="92"/>
      <c r="Y98" s="92"/>
      <c r="Z98" s="92"/>
      <c r="AA98" s="92"/>
      <c r="AB98" s="92"/>
      <c r="AC98" s="92"/>
      <c r="AD98" s="92"/>
      <c r="AE98" s="92"/>
    </row>
    <row r="99" spans="1:31" s="26" customFormat="1">
      <c r="A99" s="145"/>
      <c r="B99" s="133"/>
      <c r="C99" s="92"/>
      <c r="D99" s="92"/>
      <c r="E99" s="92"/>
      <c r="F99" s="92"/>
      <c r="G99" s="92"/>
      <c r="H99" s="92"/>
      <c r="I99" s="92"/>
      <c r="J99" s="92"/>
      <c r="K99" s="92"/>
      <c r="L99" s="92"/>
      <c r="M99" s="92"/>
      <c r="N99" s="92"/>
      <c r="O99" s="92"/>
      <c r="P99" s="92"/>
      <c r="Q99" s="92"/>
      <c r="R99" s="92"/>
      <c r="T99" s="92"/>
      <c r="U99" s="92"/>
      <c r="V99" s="92"/>
      <c r="W99" s="92"/>
      <c r="X99" s="92"/>
      <c r="Y99" s="92"/>
      <c r="Z99" s="92"/>
      <c r="AA99" s="92"/>
      <c r="AB99" s="92"/>
      <c r="AC99" s="92"/>
      <c r="AD99" s="92"/>
      <c r="AE99" s="92"/>
    </row>
    <row r="100" spans="1:31" s="26" customFormat="1">
      <c r="A100" s="145"/>
      <c r="B100" s="133"/>
      <c r="C100" s="92"/>
      <c r="D100" s="92"/>
      <c r="E100" s="92"/>
      <c r="F100" s="92"/>
      <c r="G100" s="92"/>
      <c r="H100" s="92"/>
      <c r="I100" s="92"/>
      <c r="J100" s="92"/>
      <c r="K100" s="92"/>
      <c r="L100" s="92"/>
      <c r="M100" s="92"/>
      <c r="N100" s="92"/>
      <c r="O100" s="92"/>
      <c r="P100" s="92"/>
      <c r="Q100" s="92"/>
      <c r="R100" s="92"/>
      <c r="T100" s="92"/>
      <c r="U100" s="92"/>
      <c r="V100" s="92"/>
      <c r="W100" s="92"/>
      <c r="X100" s="92"/>
      <c r="Y100" s="92"/>
      <c r="Z100" s="92"/>
      <c r="AA100" s="92"/>
      <c r="AB100" s="92"/>
      <c r="AC100" s="92"/>
      <c r="AD100" s="92"/>
      <c r="AE100" s="92"/>
    </row>
    <row r="101" spans="1:31" s="26" customFormat="1">
      <c r="A101" s="145"/>
      <c r="B101" s="133"/>
      <c r="C101" s="92"/>
      <c r="D101" s="92"/>
      <c r="E101" s="92"/>
      <c r="F101" s="92"/>
      <c r="G101" s="92"/>
      <c r="H101" s="92"/>
      <c r="I101" s="92"/>
      <c r="J101" s="92"/>
      <c r="K101" s="92"/>
      <c r="L101" s="92"/>
      <c r="M101" s="92"/>
      <c r="N101" s="92"/>
      <c r="O101" s="92"/>
      <c r="P101" s="92"/>
      <c r="Q101" s="92"/>
      <c r="R101" s="92"/>
      <c r="T101" s="92"/>
      <c r="U101" s="92"/>
      <c r="V101" s="92"/>
      <c r="W101" s="92"/>
      <c r="X101" s="92"/>
      <c r="Y101" s="92"/>
      <c r="Z101" s="92"/>
      <c r="AA101" s="92"/>
      <c r="AB101" s="92"/>
      <c r="AC101" s="92"/>
      <c r="AD101" s="92"/>
      <c r="AE101" s="92"/>
    </row>
    <row r="102" spans="1:31" s="26" customFormat="1">
      <c r="A102" s="145"/>
      <c r="B102" s="133"/>
      <c r="C102" s="92"/>
      <c r="D102" s="92"/>
      <c r="E102" s="92"/>
      <c r="F102" s="92"/>
      <c r="G102" s="92"/>
      <c r="H102" s="92"/>
      <c r="I102" s="92"/>
      <c r="J102" s="92"/>
      <c r="K102" s="92"/>
      <c r="L102" s="92"/>
      <c r="M102" s="92"/>
      <c r="N102" s="92"/>
      <c r="O102" s="92"/>
      <c r="P102" s="92"/>
      <c r="Q102" s="92"/>
      <c r="R102" s="92"/>
      <c r="T102" s="92"/>
      <c r="U102" s="92"/>
      <c r="V102" s="92"/>
      <c r="W102" s="92"/>
      <c r="X102" s="92"/>
      <c r="Y102" s="92"/>
      <c r="Z102" s="92"/>
      <c r="AA102" s="92"/>
      <c r="AB102" s="92"/>
      <c r="AC102" s="92"/>
      <c r="AD102" s="92"/>
      <c r="AE102" s="92"/>
    </row>
    <row r="103" spans="1:31" s="26" customFormat="1">
      <c r="A103" s="145"/>
      <c r="B103" s="133"/>
      <c r="C103" s="92"/>
      <c r="D103" s="92"/>
      <c r="E103" s="92"/>
      <c r="F103" s="92"/>
      <c r="G103" s="92"/>
      <c r="H103" s="92"/>
      <c r="I103" s="92"/>
      <c r="J103" s="92"/>
      <c r="K103" s="92"/>
      <c r="L103" s="92"/>
      <c r="M103" s="92"/>
      <c r="N103" s="92"/>
      <c r="O103" s="92"/>
      <c r="P103" s="92"/>
      <c r="Q103" s="92"/>
      <c r="R103" s="92"/>
      <c r="T103" s="92"/>
      <c r="U103" s="92"/>
      <c r="V103" s="92"/>
      <c r="W103" s="92"/>
      <c r="X103" s="92"/>
      <c r="Y103" s="92"/>
      <c r="Z103" s="92"/>
      <c r="AA103" s="92"/>
      <c r="AB103" s="92"/>
      <c r="AC103" s="92"/>
      <c r="AD103" s="92"/>
      <c r="AE103" s="92"/>
    </row>
    <row r="104" spans="1:31" s="26" customFormat="1">
      <c r="A104" s="145"/>
      <c r="B104" s="133"/>
      <c r="C104" s="92"/>
      <c r="D104" s="92"/>
      <c r="E104" s="92"/>
      <c r="F104" s="92"/>
      <c r="G104" s="92"/>
      <c r="H104" s="92"/>
      <c r="I104" s="92"/>
      <c r="J104" s="92"/>
      <c r="K104" s="92"/>
      <c r="L104" s="92"/>
      <c r="M104" s="92"/>
      <c r="N104" s="92"/>
      <c r="O104" s="92"/>
      <c r="P104" s="92"/>
      <c r="Q104" s="92"/>
      <c r="R104" s="92"/>
      <c r="T104" s="92"/>
      <c r="U104" s="92"/>
      <c r="V104" s="92"/>
      <c r="W104" s="92"/>
      <c r="X104" s="92"/>
      <c r="Y104" s="92"/>
      <c r="Z104" s="92"/>
      <c r="AA104" s="92"/>
      <c r="AB104" s="92"/>
      <c r="AC104" s="92"/>
      <c r="AD104" s="92"/>
      <c r="AE104" s="92"/>
    </row>
    <row r="105" spans="1:31" s="26" customFormat="1">
      <c r="A105" s="145"/>
      <c r="B105" s="133"/>
      <c r="C105" s="92"/>
      <c r="D105" s="92"/>
      <c r="E105" s="92"/>
      <c r="F105" s="92"/>
      <c r="G105" s="92"/>
      <c r="H105" s="92"/>
      <c r="I105" s="92"/>
      <c r="J105" s="92"/>
      <c r="K105" s="92"/>
      <c r="L105" s="92"/>
      <c r="M105" s="92"/>
      <c r="N105" s="92"/>
      <c r="O105" s="92"/>
      <c r="P105" s="92"/>
      <c r="Q105" s="92"/>
      <c r="R105" s="92"/>
      <c r="T105" s="92"/>
      <c r="U105" s="92"/>
      <c r="V105" s="92"/>
      <c r="W105" s="92"/>
      <c r="X105" s="92"/>
      <c r="Y105" s="92"/>
      <c r="Z105" s="92"/>
      <c r="AA105" s="92"/>
      <c r="AB105" s="92"/>
      <c r="AC105" s="92"/>
      <c r="AD105" s="92"/>
      <c r="AE105" s="92"/>
    </row>
    <row r="106" spans="1:31" s="26" customFormat="1">
      <c r="A106" s="145"/>
      <c r="B106" s="133"/>
      <c r="C106" s="92"/>
      <c r="D106" s="92"/>
      <c r="E106" s="92"/>
      <c r="F106" s="92"/>
      <c r="G106" s="92"/>
      <c r="H106" s="92"/>
      <c r="I106" s="92"/>
      <c r="J106" s="92"/>
      <c r="K106" s="92"/>
      <c r="L106" s="92"/>
      <c r="M106" s="92"/>
      <c r="N106" s="92"/>
      <c r="O106" s="92"/>
      <c r="P106" s="92"/>
      <c r="Q106" s="92"/>
      <c r="R106" s="92"/>
      <c r="T106" s="92"/>
      <c r="U106" s="92"/>
      <c r="V106" s="92"/>
      <c r="W106" s="92"/>
      <c r="X106" s="92"/>
      <c r="Y106" s="92"/>
      <c r="Z106" s="92"/>
      <c r="AA106" s="92"/>
      <c r="AB106" s="92"/>
      <c r="AC106" s="92"/>
      <c r="AD106" s="92"/>
      <c r="AE106" s="92"/>
    </row>
    <row r="107" spans="1:31" s="26" customFormat="1">
      <c r="A107" s="145"/>
      <c r="B107" s="133"/>
      <c r="C107" s="92"/>
      <c r="D107" s="92"/>
      <c r="E107" s="92"/>
      <c r="F107" s="92"/>
      <c r="G107" s="92"/>
      <c r="H107" s="92"/>
      <c r="I107" s="92"/>
      <c r="J107" s="92"/>
      <c r="K107" s="92"/>
      <c r="L107" s="92"/>
      <c r="M107" s="92"/>
      <c r="N107" s="92"/>
      <c r="O107" s="92"/>
      <c r="P107" s="92"/>
      <c r="Q107" s="92"/>
      <c r="R107" s="92"/>
      <c r="T107" s="92"/>
      <c r="U107" s="92"/>
      <c r="V107" s="92"/>
      <c r="W107" s="92"/>
      <c r="X107" s="92"/>
      <c r="Y107" s="92"/>
      <c r="Z107" s="92"/>
      <c r="AA107" s="92"/>
      <c r="AB107" s="92"/>
      <c r="AC107" s="92"/>
      <c r="AD107" s="92"/>
      <c r="AE107" s="92"/>
    </row>
    <row r="108" spans="1:31" s="26" customFormat="1">
      <c r="A108" s="145"/>
      <c r="B108" s="133"/>
      <c r="C108" s="92"/>
      <c r="D108" s="92"/>
      <c r="E108" s="92"/>
      <c r="F108" s="92"/>
      <c r="G108" s="92"/>
      <c r="H108" s="92"/>
      <c r="I108" s="92"/>
      <c r="J108" s="92"/>
      <c r="K108" s="92"/>
      <c r="L108" s="92"/>
      <c r="M108" s="92"/>
      <c r="N108" s="92"/>
      <c r="O108" s="92"/>
      <c r="P108" s="92"/>
      <c r="Q108" s="92"/>
      <c r="R108" s="92"/>
      <c r="T108" s="92"/>
      <c r="U108" s="92"/>
      <c r="V108" s="92"/>
      <c r="W108" s="92"/>
      <c r="X108" s="92"/>
      <c r="Y108" s="92"/>
      <c r="Z108" s="92"/>
      <c r="AA108" s="92"/>
      <c r="AB108" s="92"/>
      <c r="AC108" s="92"/>
      <c r="AD108" s="92"/>
      <c r="AE108" s="92"/>
    </row>
    <row r="109" spans="1:31" s="26" customFormat="1">
      <c r="A109" s="145"/>
      <c r="B109" s="133"/>
      <c r="C109" s="92"/>
      <c r="D109" s="92"/>
      <c r="E109" s="92"/>
      <c r="F109" s="92"/>
      <c r="G109" s="92"/>
      <c r="H109" s="92"/>
      <c r="I109" s="92"/>
      <c r="J109" s="92"/>
      <c r="K109" s="92"/>
      <c r="L109" s="92"/>
      <c r="M109" s="92"/>
      <c r="N109" s="92"/>
      <c r="O109" s="92"/>
      <c r="P109" s="92"/>
      <c r="Q109" s="92"/>
      <c r="R109" s="92"/>
      <c r="T109" s="92"/>
      <c r="U109" s="92"/>
      <c r="V109" s="92"/>
      <c r="W109" s="92"/>
      <c r="X109" s="92"/>
      <c r="Y109" s="92"/>
      <c r="Z109" s="92"/>
      <c r="AA109" s="92"/>
      <c r="AB109" s="92"/>
      <c r="AC109" s="92"/>
      <c r="AD109" s="92"/>
      <c r="AE109" s="92"/>
    </row>
    <row r="110" spans="1:31" s="26" customFormat="1">
      <c r="A110" s="145"/>
      <c r="B110" s="133"/>
      <c r="C110" s="92"/>
      <c r="D110" s="92"/>
      <c r="E110" s="92"/>
      <c r="F110" s="92"/>
      <c r="G110" s="92"/>
      <c r="H110" s="92"/>
      <c r="I110" s="92"/>
      <c r="J110" s="92"/>
      <c r="K110" s="92"/>
      <c r="L110" s="92"/>
      <c r="M110" s="92"/>
      <c r="N110" s="92"/>
      <c r="O110" s="92"/>
      <c r="P110" s="92"/>
      <c r="Q110" s="92"/>
      <c r="R110" s="92"/>
      <c r="T110" s="92"/>
      <c r="U110" s="92"/>
      <c r="V110" s="92"/>
      <c r="W110" s="92"/>
      <c r="X110" s="92"/>
      <c r="Y110" s="92"/>
      <c r="Z110" s="92"/>
      <c r="AA110" s="92"/>
      <c r="AB110" s="92"/>
      <c r="AC110" s="92"/>
      <c r="AD110" s="92"/>
      <c r="AE110" s="92"/>
    </row>
    <row r="111" spans="1:31" s="26" customFormat="1">
      <c r="A111" s="145"/>
      <c r="B111" s="133"/>
      <c r="C111" s="92"/>
      <c r="D111" s="92"/>
      <c r="E111" s="92"/>
      <c r="F111" s="92"/>
      <c r="G111" s="92"/>
      <c r="H111" s="92"/>
      <c r="I111" s="92"/>
      <c r="J111" s="92"/>
      <c r="K111" s="92"/>
      <c r="L111" s="92"/>
      <c r="M111" s="92"/>
      <c r="N111" s="92"/>
      <c r="O111" s="92"/>
      <c r="P111" s="92"/>
      <c r="Q111" s="92"/>
      <c r="R111" s="92"/>
      <c r="T111" s="92"/>
      <c r="U111" s="92"/>
      <c r="V111" s="92"/>
      <c r="W111" s="92"/>
      <c r="X111" s="92"/>
      <c r="Y111" s="92"/>
      <c r="Z111" s="92"/>
      <c r="AA111" s="92"/>
      <c r="AB111" s="92"/>
      <c r="AC111" s="92"/>
      <c r="AD111" s="92"/>
      <c r="AE111" s="92"/>
    </row>
    <row r="112" spans="1:31" s="26" customFormat="1">
      <c r="A112" s="145"/>
      <c r="B112" s="133"/>
      <c r="C112" s="92"/>
      <c r="D112" s="92"/>
      <c r="E112" s="92"/>
      <c r="F112" s="92"/>
      <c r="G112" s="92"/>
      <c r="H112" s="92"/>
      <c r="I112" s="92"/>
      <c r="J112" s="92"/>
      <c r="K112" s="92"/>
      <c r="L112" s="92"/>
      <c r="M112" s="92"/>
      <c r="N112" s="92"/>
      <c r="O112" s="92"/>
      <c r="P112" s="92"/>
      <c r="Q112" s="92"/>
      <c r="R112" s="92"/>
      <c r="T112" s="92"/>
      <c r="U112" s="92"/>
      <c r="V112" s="92"/>
      <c r="W112" s="92"/>
      <c r="X112" s="92"/>
      <c r="Y112" s="92"/>
      <c r="Z112" s="92"/>
      <c r="AA112" s="92"/>
      <c r="AB112" s="92"/>
      <c r="AC112" s="92"/>
      <c r="AD112" s="92"/>
      <c r="AE112" s="92"/>
    </row>
    <row r="113" spans="1:31" s="26" customFormat="1">
      <c r="A113" s="145"/>
      <c r="B113" s="133"/>
      <c r="C113" s="92"/>
      <c r="D113" s="92"/>
      <c r="E113" s="92"/>
      <c r="F113" s="92"/>
      <c r="G113" s="92"/>
      <c r="H113" s="92"/>
      <c r="I113" s="92"/>
      <c r="J113" s="92"/>
      <c r="K113" s="92"/>
      <c r="L113" s="92"/>
      <c r="M113" s="92"/>
      <c r="N113" s="92"/>
      <c r="O113" s="92"/>
      <c r="P113" s="92"/>
      <c r="Q113" s="92"/>
      <c r="R113" s="92"/>
      <c r="T113" s="92"/>
      <c r="U113" s="92"/>
      <c r="V113" s="92"/>
      <c r="W113" s="92"/>
      <c r="X113" s="92"/>
      <c r="Y113" s="92"/>
      <c r="Z113" s="92"/>
      <c r="AA113" s="92"/>
      <c r="AB113" s="92"/>
      <c r="AC113" s="92"/>
      <c r="AD113" s="92"/>
      <c r="AE113" s="92"/>
    </row>
    <row r="114" spans="1:31" s="26" customFormat="1">
      <c r="A114" s="145"/>
      <c r="B114" s="133"/>
      <c r="C114" s="92"/>
      <c r="D114" s="92"/>
      <c r="E114" s="92"/>
      <c r="F114" s="92"/>
      <c r="G114" s="92"/>
      <c r="H114" s="92"/>
      <c r="I114" s="92"/>
      <c r="J114" s="92"/>
      <c r="K114" s="92"/>
      <c r="L114" s="92"/>
      <c r="M114" s="92"/>
      <c r="N114" s="92"/>
      <c r="O114" s="92"/>
      <c r="P114" s="92"/>
      <c r="Q114" s="92"/>
      <c r="R114" s="92"/>
      <c r="T114" s="92"/>
      <c r="U114" s="92"/>
      <c r="V114" s="92"/>
      <c r="W114" s="92"/>
      <c r="X114" s="92"/>
      <c r="Y114" s="92"/>
      <c r="Z114" s="92"/>
      <c r="AA114" s="92"/>
      <c r="AB114" s="92"/>
      <c r="AC114" s="92"/>
      <c r="AD114" s="92"/>
      <c r="AE114" s="92"/>
    </row>
    <row r="115" spans="1:31" s="26" customFormat="1">
      <c r="A115" s="145"/>
      <c r="B115" s="133"/>
      <c r="C115" s="92"/>
      <c r="D115" s="92"/>
      <c r="E115" s="92"/>
      <c r="F115" s="92"/>
      <c r="G115" s="92"/>
      <c r="H115" s="92"/>
      <c r="I115" s="92"/>
      <c r="J115" s="92"/>
      <c r="K115" s="92"/>
      <c r="L115" s="92"/>
      <c r="M115" s="92"/>
      <c r="N115" s="92"/>
      <c r="O115" s="92"/>
      <c r="P115" s="92"/>
      <c r="Q115" s="92"/>
      <c r="R115" s="92"/>
      <c r="T115" s="92"/>
      <c r="U115" s="92"/>
      <c r="V115" s="92"/>
      <c r="W115" s="92"/>
      <c r="X115" s="92"/>
      <c r="Y115" s="92"/>
      <c r="Z115" s="92"/>
      <c r="AA115" s="92"/>
      <c r="AB115" s="92"/>
      <c r="AC115" s="92"/>
      <c r="AD115" s="92"/>
      <c r="AE115" s="92"/>
    </row>
    <row r="116" spans="1:31" s="26" customFormat="1">
      <c r="A116" s="145"/>
      <c r="B116" s="133"/>
      <c r="C116" s="92"/>
      <c r="D116" s="92"/>
      <c r="E116" s="92"/>
      <c r="F116" s="92"/>
      <c r="G116" s="92"/>
      <c r="H116" s="92"/>
      <c r="I116" s="92"/>
      <c r="J116" s="92"/>
      <c r="K116" s="92"/>
      <c r="L116" s="92"/>
      <c r="M116" s="92"/>
      <c r="N116" s="92"/>
      <c r="O116" s="92"/>
      <c r="P116" s="92"/>
      <c r="Q116" s="92"/>
      <c r="R116" s="92"/>
      <c r="T116" s="92"/>
      <c r="U116" s="92"/>
      <c r="V116" s="92"/>
      <c r="W116" s="92"/>
      <c r="X116" s="92"/>
      <c r="Y116" s="92"/>
      <c r="Z116" s="92"/>
      <c r="AA116" s="92"/>
      <c r="AB116" s="92"/>
      <c r="AC116" s="92"/>
      <c r="AD116" s="92"/>
      <c r="AE116" s="92"/>
    </row>
    <row r="117" spans="1:31" s="26" customFormat="1">
      <c r="A117" s="145"/>
      <c r="B117" s="133"/>
      <c r="C117" s="92"/>
      <c r="D117" s="92"/>
      <c r="E117" s="92"/>
      <c r="F117" s="92"/>
      <c r="G117" s="92"/>
      <c r="H117" s="92"/>
      <c r="I117" s="92"/>
      <c r="J117" s="92"/>
      <c r="K117" s="92"/>
      <c r="L117" s="92"/>
      <c r="M117" s="92"/>
      <c r="N117" s="92"/>
      <c r="O117" s="92"/>
      <c r="P117" s="92"/>
      <c r="Q117" s="92"/>
      <c r="R117" s="92"/>
      <c r="T117" s="92"/>
      <c r="U117" s="92"/>
      <c r="V117" s="92"/>
      <c r="W117" s="92"/>
      <c r="X117" s="92"/>
      <c r="Y117" s="92"/>
      <c r="Z117" s="92"/>
      <c r="AA117" s="92"/>
      <c r="AB117" s="92"/>
      <c r="AC117" s="92"/>
      <c r="AD117" s="92"/>
      <c r="AE117" s="92"/>
    </row>
    <row r="118" spans="1:31" s="26" customFormat="1">
      <c r="A118" s="145"/>
      <c r="B118" s="133"/>
      <c r="C118" s="92"/>
      <c r="D118" s="92"/>
      <c r="E118" s="92"/>
      <c r="F118" s="92"/>
      <c r="G118" s="92"/>
      <c r="H118" s="92"/>
      <c r="I118" s="92"/>
      <c r="J118" s="92"/>
      <c r="K118" s="92"/>
      <c r="L118" s="92"/>
      <c r="M118" s="92"/>
      <c r="N118" s="92"/>
      <c r="O118" s="92"/>
      <c r="P118" s="92"/>
      <c r="Q118" s="92"/>
      <c r="R118" s="92"/>
      <c r="T118" s="92"/>
      <c r="U118" s="92"/>
      <c r="V118" s="92"/>
      <c r="W118" s="92"/>
      <c r="X118" s="92"/>
      <c r="Y118" s="92"/>
      <c r="Z118" s="92"/>
      <c r="AA118" s="92"/>
      <c r="AB118" s="92"/>
      <c r="AC118" s="92"/>
      <c r="AD118" s="92"/>
      <c r="AE118" s="92"/>
    </row>
    <row r="119" spans="1:31" s="26" customFormat="1">
      <c r="A119" s="145"/>
      <c r="B119" s="133"/>
      <c r="C119" s="92"/>
      <c r="D119" s="92"/>
      <c r="E119" s="92"/>
      <c r="F119" s="92"/>
      <c r="G119" s="92"/>
      <c r="H119" s="92"/>
      <c r="I119" s="92"/>
      <c r="J119" s="92"/>
      <c r="K119" s="92"/>
      <c r="L119" s="92"/>
      <c r="M119" s="92"/>
      <c r="N119" s="92"/>
      <c r="O119" s="92"/>
      <c r="P119" s="92"/>
      <c r="Q119" s="92"/>
      <c r="R119" s="92"/>
      <c r="T119" s="92"/>
      <c r="U119" s="92"/>
      <c r="V119" s="92"/>
      <c r="W119" s="92"/>
      <c r="X119" s="92"/>
      <c r="Y119" s="92"/>
      <c r="Z119" s="92"/>
      <c r="AA119" s="92"/>
      <c r="AB119" s="92"/>
      <c r="AC119" s="92"/>
      <c r="AD119" s="92"/>
      <c r="AE119" s="92"/>
    </row>
    <row r="120" spans="1:31" s="26" customFormat="1">
      <c r="A120" s="145"/>
      <c r="B120" s="133"/>
      <c r="C120" s="92"/>
      <c r="D120" s="92"/>
      <c r="E120" s="92"/>
      <c r="F120" s="92"/>
      <c r="G120" s="92"/>
      <c r="H120" s="92"/>
      <c r="I120" s="92"/>
      <c r="J120" s="92"/>
      <c r="K120" s="92"/>
      <c r="L120" s="92"/>
      <c r="M120" s="92"/>
      <c r="N120" s="92"/>
      <c r="O120" s="92"/>
      <c r="P120" s="92"/>
      <c r="Q120" s="92"/>
      <c r="R120" s="92"/>
      <c r="T120" s="92"/>
      <c r="U120" s="92"/>
      <c r="V120" s="92"/>
      <c r="W120" s="92"/>
      <c r="X120" s="92"/>
      <c r="Y120" s="92"/>
      <c r="Z120" s="92"/>
      <c r="AA120" s="92"/>
      <c r="AB120" s="92"/>
      <c r="AC120" s="92"/>
      <c r="AD120" s="92"/>
      <c r="AE120" s="92"/>
    </row>
    <row r="121" spans="1:31" s="26" customFormat="1">
      <c r="A121" s="145"/>
      <c r="B121" s="133"/>
      <c r="C121" s="92"/>
      <c r="D121" s="92"/>
      <c r="E121" s="92"/>
      <c r="F121" s="92"/>
      <c r="G121" s="92"/>
      <c r="H121" s="92"/>
      <c r="I121" s="92"/>
      <c r="J121" s="92"/>
      <c r="K121" s="92"/>
      <c r="L121" s="92"/>
      <c r="M121" s="92"/>
      <c r="N121" s="92"/>
      <c r="O121" s="92"/>
      <c r="P121" s="92"/>
      <c r="Q121" s="92"/>
      <c r="R121" s="92"/>
      <c r="T121" s="92"/>
      <c r="U121" s="92"/>
      <c r="V121" s="92"/>
      <c r="W121" s="92"/>
      <c r="X121" s="92"/>
      <c r="Y121" s="92"/>
      <c r="Z121" s="92"/>
      <c r="AA121" s="92"/>
      <c r="AB121" s="92"/>
      <c r="AC121" s="92"/>
      <c r="AD121" s="92"/>
      <c r="AE121" s="92"/>
    </row>
    <row r="122" spans="1:31" s="26" customFormat="1">
      <c r="A122" s="145"/>
      <c r="B122" s="133"/>
      <c r="C122" s="92"/>
      <c r="D122" s="92"/>
      <c r="E122" s="92"/>
      <c r="F122" s="92"/>
      <c r="G122" s="92"/>
      <c r="H122" s="92"/>
      <c r="I122" s="92"/>
      <c r="J122" s="92"/>
      <c r="K122" s="92"/>
      <c r="L122" s="92"/>
      <c r="M122" s="92"/>
      <c r="N122" s="92"/>
      <c r="O122" s="92"/>
      <c r="P122" s="92"/>
      <c r="Q122" s="92"/>
      <c r="R122" s="92"/>
      <c r="T122" s="92"/>
      <c r="U122" s="92"/>
      <c r="V122" s="92"/>
      <c r="W122" s="92"/>
      <c r="X122" s="92"/>
      <c r="Y122" s="92"/>
      <c r="Z122" s="92"/>
      <c r="AA122" s="92"/>
      <c r="AB122" s="92"/>
      <c r="AC122" s="92"/>
      <c r="AD122" s="92"/>
      <c r="AE122" s="92"/>
    </row>
    <row r="123" spans="1:31" s="26" customFormat="1">
      <c r="A123" s="145"/>
      <c r="B123" s="133"/>
      <c r="C123" s="92"/>
      <c r="D123" s="92"/>
      <c r="E123" s="92"/>
      <c r="F123" s="92"/>
      <c r="G123" s="92"/>
      <c r="H123" s="92"/>
      <c r="I123" s="92"/>
      <c r="J123" s="92"/>
      <c r="K123" s="92"/>
      <c r="L123" s="92"/>
      <c r="M123" s="92"/>
      <c r="N123" s="92"/>
      <c r="O123" s="92"/>
      <c r="P123" s="92"/>
      <c r="Q123" s="92"/>
      <c r="R123" s="92"/>
      <c r="T123" s="92"/>
      <c r="U123" s="92"/>
      <c r="V123" s="92"/>
      <c r="W123" s="92"/>
      <c r="X123" s="92"/>
      <c r="Y123" s="92"/>
      <c r="Z123" s="92"/>
      <c r="AA123" s="92"/>
      <c r="AB123" s="92"/>
      <c r="AC123" s="92"/>
      <c r="AD123" s="92"/>
      <c r="AE123" s="92"/>
    </row>
    <row r="124" spans="1:31" s="26" customFormat="1">
      <c r="A124" s="145"/>
      <c r="B124" s="133"/>
      <c r="C124" s="92"/>
      <c r="D124" s="92"/>
      <c r="E124" s="92"/>
      <c r="F124" s="92"/>
      <c r="G124" s="92"/>
      <c r="H124" s="92"/>
      <c r="I124" s="92"/>
      <c r="J124" s="92"/>
      <c r="K124" s="92"/>
      <c r="L124" s="92"/>
      <c r="M124" s="92"/>
      <c r="N124" s="92"/>
      <c r="O124" s="92"/>
      <c r="P124" s="92"/>
      <c r="Q124" s="92"/>
      <c r="R124" s="92"/>
      <c r="T124" s="92"/>
      <c r="U124" s="92"/>
      <c r="V124" s="92"/>
      <c r="W124" s="92"/>
      <c r="X124" s="92"/>
      <c r="Y124" s="92"/>
      <c r="Z124" s="92"/>
      <c r="AA124" s="92"/>
      <c r="AB124" s="92"/>
      <c r="AC124" s="92"/>
      <c r="AD124" s="92"/>
      <c r="AE124" s="92"/>
    </row>
    <row r="125" spans="1:31" s="26" customFormat="1">
      <c r="A125" s="145"/>
      <c r="B125" s="133"/>
      <c r="C125" s="92"/>
      <c r="D125" s="92"/>
      <c r="E125" s="92"/>
      <c r="F125" s="92"/>
      <c r="G125" s="92"/>
      <c r="H125" s="92"/>
      <c r="I125" s="92"/>
      <c r="J125" s="92"/>
      <c r="K125" s="92"/>
      <c r="L125" s="92"/>
      <c r="M125" s="92"/>
      <c r="N125" s="92"/>
      <c r="O125" s="92"/>
      <c r="P125" s="92"/>
      <c r="Q125" s="92"/>
      <c r="R125" s="92"/>
      <c r="T125" s="92"/>
      <c r="U125" s="92"/>
      <c r="V125" s="92"/>
      <c r="W125" s="92"/>
      <c r="X125" s="92"/>
      <c r="Y125" s="92"/>
      <c r="Z125" s="92"/>
      <c r="AA125" s="92"/>
      <c r="AB125" s="92"/>
      <c r="AC125" s="92"/>
      <c r="AD125" s="92"/>
      <c r="AE125" s="92"/>
    </row>
    <row r="126" spans="1:31" s="26" customFormat="1">
      <c r="A126" s="145"/>
      <c r="B126" s="133"/>
      <c r="C126" s="92"/>
      <c r="D126" s="92"/>
      <c r="E126" s="92"/>
      <c r="F126" s="92"/>
      <c r="G126" s="92"/>
      <c r="H126" s="92"/>
      <c r="I126" s="92"/>
      <c r="J126" s="92"/>
      <c r="K126" s="92"/>
      <c r="L126" s="92"/>
      <c r="M126" s="92"/>
      <c r="N126" s="92"/>
      <c r="O126" s="92"/>
      <c r="P126" s="92"/>
      <c r="Q126" s="92"/>
      <c r="R126" s="92"/>
      <c r="T126" s="92"/>
      <c r="U126" s="92"/>
      <c r="V126" s="92"/>
      <c r="W126" s="92"/>
      <c r="X126" s="92"/>
      <c r="Y126" s="92"/>
      <c r="Z126" s="92"/>
      <c r="AA126" s="92"/>
      <c r="AB126" s="92"/>
      <c r="AC126" s="92"/>
      <c r="AD126" s="92"/>
      <c r="AE126" s="92"/>
    </row>
    <row r="127" spans="1:31" s="26" customFormat="1">
      <c r="A127" s="145"/>
      <c r="B127" s="133"/>
      <c r="C127" s="92"/>
      <c r="D127" s="92"/>
      <c r="E127" s="92"/>
      <c r="F127" s="92"/>
      <c r="G127" s="92"/>
      <c r="H127" s="92"/>
      <c r="I127" s="92"/>
      <c r="J127" s="92"/>
      <c r="K127" s="92"/>
      <c r="L127" s="92"/>
      <c r="M127" s="92"/>
      <c r="N127" s="92"/>
      <c r="O127" s="92"/>
      <c r="P127" s="92"/>
      <c r="Q127" s="92"/>
      <c r="R127" s="92"/>
      <c r="T127" s="92"/>
      <c r="U127" s="92"/>
      <c r="V127" s="92"/>
      <c r="W127" s="92"/>
      <c r="X127" s="92"/>
      <c r="Y127" s="92"/>
      <c r="Z127" s="92"/>
      <c r="AA127" s="92"/>
      <c r="AB127" s="92"/>
      <c r="AC127" s="92"/>
      <c r="AD127" s="92"/>
      <c r="AE127" s="92"/>
    </row>
    <row r="128" spans="1:31" s="26" customFormat="1">
      <c r="A128" s="145"/>
      <c r="B128" s="133"/>
      <c r="C128" s="92"/>
      <c r="D128" s="92"/>
      <c r="E128" s="92"/>
      <c r="F128" s="92"/>
      <c r="G128" s="92"/>
      <c r="H128" s="92"/>
      <c r="I128" s="92"/>
      <c r="J128" s="92"/>
      <c r="K128" s="92"/>
      <c r="L128" s="92"/>
      <c r="M128" s="92"/>
      <c r="N128" s="92"/>
      <c r="O128" s="92"/>
      <c r="P128" s="92"/>
      <c r="Q128" s="92"/>
      <c r="R128" s="92"/>
      <c r="T128" s="92"/>
      <c r="U128" s="92"/>
      <c r="V128" s="92"/>
      <c r="W128" s="92"/>
      <c r="X128" s="92"/>
      <c r="Y128" s="92"/>
      <c r="Z128" s="92"/>
      <c r="AA128" s="92"/>
      <c r="AB128" s="92"/>
      <c r="AC128" s="92"/>
      <c r="AD128" s="92"/>
      <c r="AE128" s="92"/>
    </row>
    <row r="129" spans="1:31" s="26" customFormat="1">
      <c r="A129" s="145"/>
      <c r="B129" s="133"/>
      <c r="C129" s="92"/>
      <c r="D129" s="92"/>
      <c r="E129" s="92"/>
      <c r="F129" s="92"/>
      <c r="G129" s="92"/>
      <c r="H129" s="92"/>
      <c r="I129" s="92"/>
      <c r="J129" s="92"/>
      <c r="K129" s="92"/>
      <c r="L129" s="92"/>
      <c r="M129" s="92"/>
      <c r="N129" s="92"/>
      <c r="O129" s="92"/>
      <c r="P129" s="92"/>
      <c r="Q129" s="92"/>
      <c r="R129" s="92"/>
      <c r="T129" s="92"/>
      <c r="U129" s="92"/>
      <c r="V129" s="92"/>
      <c r="W129" s="92"/>
      <c r="X129" s="92"/>
      <c r="Y129" s="92"/>
      <c r="Z129" s="92"/>
      <c r="AA129" s="92"/>
      <c r="AB129" s="92"/>
      <c r="AC129" s="92"/>
      <c r="AD129" s="92"/>
      <c r="AE129" s="92"/>
    </row>
    <row r="130" spans="1:31" s="26" customFormat="1">
      <c r="A130" s="145"/>
      <c r="B130" s="133"/>
      <c r="C130" s="92"/>
      <c r="D130" s="92"/>
      <c r="E130" s="92"/>
      <c r="F130" s="92"/>
      <c r="G130" s="92"/>
      <c r="H130" s="92"/>
      <c r="I130" s="92"/>
      <c r="J130" s="92"/>
      <c r="K130" s="92"/>
      <c r="L130" s="92"/>
      <c r="M130" s="92"/>
      <c r="N130" s="92"/>
      <c r="O130" s="92"/>
      <c r="P130" s="92"/>
      <c r="Q130" s="92"/>
      <c r="R130" s="92"/>
      <c r="T130" s="92"/>
      <c r="U130" s="92"/>
      <c r="V130" s="92"/>
      <c r="W130" s="92"/>
      <c r="X130" s="92"/>
      <c r="Y130" s="92"/>
      <c r="Z130" s="92"/>
      <c r="AA130" s="92"/>
      <c r="AB130" s="92"/>
      <c r="AC130" s="92"/>
      <c r="AD130" s="92"/>
      <c r="AE130" s="92"/>
    </row>
    <row r="131" spans="1:31" s="26" customFormat="1">
      <c r="A131" s="145"/>
      <c r="B131" s="133"/>
      <c r="C131" s="92"/>
      <c r="D131" s="92"/>
      <c r="E131" s="92"/>
      <c r="F131" s="92"/>
      <c r="G131" s="92"/>
      <c r="H131" s="92"/>
      <c r="I131" s="92"/>
      <c r="J131" s="92"/>
      <c r="K131" s="92"/>
      <c r="L131" s="92"/>
      <c r="M131" s="92"/>
      <c r="N131" s="92"/>
      <c r="O131" s="92"/>
      <c r="P131" s="92"/>
      <c r="Q131" s="92"/>
      <c r="R131" s="92"/>
      <c r="T131" s="92"/>
      <c r="U131" s="92"/>
      <c r="V131" s="92"/>
      <c r="W131" s="92"/>
      <c r="X131" s="92"/>
      <c r="Y131" s="92"/>
      <c r="Z131" s="92"/>
      <c r="AA131" s="92"/>
      <c r="AB131" s="92"/>
      <c r="AC131" s="92"/>
      <c r="AD131" s="92"/>
      <c r="AE131" s="92"/>
    </row>
    <row r="132" spans="1:31" s="26" customFormat="1">
      <c r="A132" s="145"/>
      <c r="B132" s="133"/>
      <c r="C132" s="92"/>
      <c r="D132" s="92"/>
      <c r="E132" s="92"/>
      <c r="F132" s="92"/>
      <c r="G132" s="92"/>
      <c r="H132" s="92"/>
      <c r="I132" s="92"/>
      <c r="J132" s="92"/>
      <c r="K132" s="92"/>
      <c r="L132" s="92"/>
      <c r="M132" s="92"/>
      <c r="N132" s="92"/>
      <c r="O132" s="92"/>
      <c r="P132" s="92"/>
      <c r="Q132" s="92"/>
      <c r="R132" s="92"/>
      <c r="T132" s="92"/>
      <c r="U132" s="92"/>
      <c r="V132" s="92"/>
      <c r="W132" s="92"/>
      <c r="X132" s="92"/>
      <c r="Y132" s="92"/>
      <c r="Z132" s="92"/>
      <c r="AA132" s="92"/>
      <c r="AB132" s="92"/>
      <c r="AC132" s="92"/>
      <c r="AD132" s="92"/>
      <c r="AE132" s="92"/>
    </row>
    <row r="133" spans="1:31" s="26" customFormat="1">
      <c r="A133" s="145"/>
      <c r="B133" s="133"/>
      <c r="C133" s="92"/>
      <c r="D133" s="92"/>
      <c r="E133" s="92"/>
      <c r="F133" s="92"/>
      <c r="G133" s="92"/>
      <c r="H133" s="92"/>
      <c r="I133" s="92"/>
      <c r="J133" s="92"/>
      <c r="K133" s="92"/>
      <c r="L133" s="92"/>
      <c r="M133" s="92"/>
      <c r="N133" s="92"/>
      <c r="O133" s="92"/>
      <c r="P133" s="92"/>
      <c r="Q133" s="92"/>
      <c r="R133" s="92"/>
      <c r="T133" s="92"/>
      <c r="U133" s="92"/>
      <c r="V133" s="92"/>
      <c r="W133" s="92"/>
      <c r="X133" s="92"/>
      <c r="Y133" s="92"/>
      <c r="Z133" s="92"/>
      <c r="AA133" s="92"/>
      <c r="AB133" s="92"/>
      <c r="AC133" s="92"/>
      <c r="AD133" s="92"/>
      <c r="AE133" s="92"/>
    </row>
    <row r="134" spans="1:31" s="26" customFormat="1">
      <c r="A134" s="145"/>
      <c r="B134" s="133"/>
      <c r="C134" s="92"/>
      <c r="D134" s="92"/>
      <c r="E134" s="92"/>
      <c r="F134" s="92"/>
      <c r="G134" s="92"/>
      <c r="H134" s="92"/>
      <c r="I134" s="92"/>
      <c r="J134" s="92"/>
      <c r="K134" s="92"/>
      <c r="L134" s="92"/>
      <c r="M134" s="92"/>
      <c r="N134" s="92"/>
      <c r="O134" s="92"/>
      <c r="P134" s="92"/>
      <c r="Q134" s="92"/>
      <c r="R134" s="92"/>
      <c r="T134" s="92"/>
      <c r="U134" s="92"/>
      <c r="V134" s="92"/>
      <c r="W134" s="92"/>
      <c r="X134" s="92"/>
      <c r="Y134" s="92"/>
      <c r="Z134" s="92"/>
      <c r="AA134" s="92"/>
      <c r="AB134" s="92"/>
      <c r="AC134" s="92"/>
      <c r="AD134" s="92"/>
      <c r="AE134" s="92"/>
    </row>
    <row r="135" spans="1:31" s="26" customFormat="1">
      <c r="A135" s="145"/>
      <c r="B135" s="133"/>
      <c r="C135" s="92"/>
      <c r="D135" s="92"/>
      <c r="E135" s="92"/>
      <c r="F135" s="92"/>
      <c r="G135" s="92"/>
      <c r="H135" s="92"/>
      <c r="I135" s="92"/>
      <c r="J135" s="92"/>
      <c r="K135" s="92"/>
      <c r="L135" s="92"/>
      <c r="M135" s="92"/>
      <c r="N135" s="92"/>
      <c r="O135" s="92"/>
      <c r="P135" s="92"/>
      <c r="Q135" s="92"/>
      <c r="R135" s="92"/>
      <c r="T135" s="92"/>
      <c r="U135" s="92"/>
      <c r="V135" s="92"/>
      <c r="W135" s="92"/>
      <c r="X135" s="92"/>
      <c r="Y135" s="92"/>
      <c r="Z135" s="92"/>
      <c r="AA135" s="92"/>
      <c r="AB135" s="92"/>
      <c r="AC135" s="92"/>
      <c r="AD135" s="92"/>
      <c r="AE135" s="92"/>
    </row>
    <row r="136" spans="1:31" s="26" customFormat="1">
      <c r="A136" s="145"/>
      <c r="B136" s="133"/>
      <c r="C136" s="92"/>
      <c r="D136" s="92"/>
      <c r="E136" s="92"/>
      <c r="F136" s="92"/>
      <c r="G136" s="92"/>
      <c r="H136" s="92"/>
      <c r="I136" s="92"/>
      <c r="J136" s="92"/>
      <c r="K136" s="92"/>
      <c r="L136" s="92"/>
      <c r="M136" s="92"/>
      <c r="N136" s="92"/>
      <c r="O136" s="92"/>
      <c r="P136" s="92"/>
      <c r="Q136" s="92"/>
      <c r="R136" s="92"/>
      <c r="T136" s="92"/>
      <c r="U136" s="92"/>
      <c r="V136" s="92"/>
      <c r="W136" s="92"/>
      <c r="X136" s="92"/>
      <c r="Y136" s="92"/>
      <c r="Z136" s="92"/>
      <c r="AA136" s="92"/>
      <c r="AB136" s="92"/>
      <c r="AC136" s="92"/>
      <c r="AD136" s="92"/>
      <c r="AE136" s="92"/>
    </row>
    <row r="137" spans="1:31" s="26" customFormat="1">
      <c r="A137" s="145"/>
      <c r="B137" s="133"/>
      <c r="C137" s="92"/>
      <c r="D137" s="92"/>
      <c r="E137" s="92"/>
      <c r="F137" s="92"/>
      <c r="G137" s="92"/>
      <c r="H137" s="92"/>
      <c r="I137" s="92"/>
      <c r="J137" s="92"/>
      <c r="K137" s="92"/>
      <c r="L137" s="92"/>
      <c r="M137" s="92"/>
      <c r="N137" s="92"/>
      <c r="O137" s="92"/>
      <c r="P137" s="92"/>
      <c r="Q137" s="92"/>
      <c r="R137" s="92"/>
      <c r="T137" s="92"/>
      <c r="U137" s="92"/>
      <c r="V137" s="92"/>
      <c r="W137" s="92"/>
      <c r="X137" s="92"/>
      <c r="Y137" s="92"/>
      <c r="Z137" s="92"/>
      <c r="AA137" s="92"/>
      <c r="AB137" s="92"/>
      <c r="AC137" s="92"/>
      <c r="AD137" s="92"/>
      <c r="AE137" s="92"/>
    </row>
    <row r="138" spans="1:31" s="26" customFormat="1">
      <c r="A138" s="145"/>
      <c r="B138" s="133"/>
      <c r="C138" s="92"/>
      <c r="D138" s="92"/>
      <c r="E138" s="92"/>
      <c r="F138" s="92"/>
      <c r="G138" s="92"/>
      <c r="H138" s="92"/>
      <c r="I138" s="92"/>
      <c r="J138" s="92"/>
      <c r="K138" s="92"/>
      <c r="L138" s="92"/>
      <c r="M138" s="92"/>
      <c r="N138" s="92"/>
      <c r="O138" s="92"/>
      <c r="P138" s="92"/>
      <c r="Q138" s="92"/>
      <c r="R138" s="92"/>
      <c r="T138" s="92"/>
      <c r="U138" s="92"/>
      <c r="V138" s="92"/>
      <c r="W138" s="92"/>
      <c r="X138" s="92"/>
      <c r="Y138" s="92"/>
      <c r="Z138" s="92"/>
      <c r="AA138" s="92"/>
      <c r="AB138" s="92"/>
      <c r="AC138" s="92"/>
      <c r="AD138" s="92"/>
      <c r="AE138" s="92"/>
    </row>
    <row r="139" spans="1:31" s="26" customFormat="1">
      <c r="A139" s="145"/>
      <c r="B139" s="133"/>
      <c r="C139" s="92"/>
      <c r="D139" s="92"/>
      <c r="E139" s="92"/>
      <c r="F139" s="92"/>
      <c r="G139" s="92"/>
      <c r="H139" s="92"/>
      <c r="I139" s="92"/>
      <c r="J139" s="92"/>
      <c r="K139" s="92"/>
      <c r="L139" s="92"/>
      <c r="M139" s="92"/>
      <c r="N139" s="92"/>
      <c r="O139" s="92"/>
      <c r="P139" s="92"/>
      <c r="Q139" s="92"/>
      <c r="R139" s="92"/>
      <c r="T139" s="92"/>
      <c r="U139" s="92"/>
      <c r="V139" s="92"/>
      <c r="W139" s="92"/>
      <c r="X139" s="92"/>
      <c r="Y139" s="92"/>
      <c r="Z139" s="92"/>
      <c r="AA139" s="92"/>
      <c r="AB139" s="92"/>
      <c r="AC139" s="92"/>
      <c r="AD139" s="92"/>
      <c r="AE139" s="92"/>
    </row>
    <row r="140" spans="1:31" s="26" customFormat="1">
      <c r="A140" s="145"/>
      <c r="B140" s="133"/>
      <c r="C140" s="92"/>
      <c r="D140" s="92"/>
      <c r="E140" s="92"/>
      <c r="F140" s="92"/>
      <c r="G140" s="92"/>
      <c r="H140" s="92"/>
      <c r="I140" s="92"/>
      <c r="J140" s="92"/>
      <c r="K140" s="92"/>
      <c r="L140" s="92"/>
      <c r="M140" s="92"/>
      <c r="N140" s="92"/>
      <c r="O140" s="92"/>
      <c r="P140" s="92"/>
      <c r="Q140" s="92"/>
      <c r="R140" s="92"/>
      <c r="T140" s="92"/>
      <c r="U140" s="92"/>
      <c r="V140" s="92"/>
      <c r="W140" s="92"/>
      <c r="X140" s="92"/>
      <c r="Y140" s="92"/>
      <c r="Z140" s="92"/>
      <c r="AA140" s="92"/>
      <c r="AB140" s="92"/>
      <c r="AC140" s="92"/>
      <c r="AD140" s="92"/>
      <c r="AE140" s="92"/>
    </row>
    <row r="141" spans="1:31" s="26" customFormat="1">
      <c r="A141" s="145"/>
      <c r="B141" s="133"/>
      <c r="C141" s="92"/>
      <c r="D141" s="92"/>
      <c r="E141" s="92"/>
      <c r="F141" s="92"/>
      <c r="G141" s="92"/>
      <c r="H141" s="92"/>
      <c r="I141" s="92"/>
      <c r="J141" s="92"/>
      <c r="K141" s="92"/>
      <c r="L141" s="92"/>
      <c r="M141" s="92"/>
      <c r="N141" s="92"/>
      <c r="O141" s="92"/>
      <c r="P141" s="92"/>
      <c r="Q141" s="92"/>
      <c r="R141" s="92"/>
      <c r="T141" s="92"/>
      <c r="U141" s="92"/>
      <c r="V141" s="92"/>
      <c r="W141" s="92"/>
      <c r="X141" s="92"/>
      <c r="Y141" s="92"/>
      <c r="Z141" s="92"/>
      <c r="AA141" s="92"/>
      <c r="AB141" s="92"/>
      <c r="AC141" s="92"/>
      <c r="AD141" s="92"/>
      <c r="AE141" s="92"/>
    </row>
    <row r="142" spans="1:31" s="26" customFormat="1">
      <c r="A142" s="145"/>
      <c r="B142" s="133"/>
      <c r="C142" s="92"/>
      <c r="D142" s="92"/>
      <c r="E142" s="92"/>
      <c r="F142" s="92"/>
      <c r="G142" s="92"/>
      <c r="H142" s="92"/>
      <c r="I142" s="92"/>
      <c r="J142" s="92"/>
      <c r="K142" s="92"/>
      <c r="L142" s="92"/>
      <c r="M142" s="92"/>
      <c r="N142" s="92"/>
      <c r="O142" s="92"/>
      <c r="P142" s="92"/>
      <c r="Q142" s="92"/>
      <c r="R142" s="92"/>
      <c r="T142" s="92"/>
      <c r="U142" s="92"/>
      <c r="V142" s="92"/>
      <c r="W142" s="92"/>
      <c r="X142" s="92"/>
      <c r="Y142" s="92"/>
      <c r="Z142" s="92"/>
      <c r="AA142" s="92"/>
      <c r="AB142" s="92"/>
      <c r="AC142" s="92"/>
      <c r="AD142" s="92"/>
      <c r="AE142" s="92"/>
    </row>
    <row r="143" spans="1:31" s="26" customFormat="1">
      <c r="A143" s="145"/>
      <c r="B143" s="133"/>
      <c r="C143" s="92"/>
      <c r="D143" s="92"/>
      <c r="E143" s="92"/>
      <c r="F143" s="92"/>
      <c r="G143" s="92"/>
      <c r="H143" s="92"/>
      <c r="I143" s="92"/>
      <c r="J143" s="92"/>
      <c r="K143" s="92"/>
      <c r="L143" s="92"/>
      <c r="M143" s="92"/>
      <c r="N143" s="92"/>
      <c r="O143" s="92"/>
      <c r="P143" s="92"/>
      <c r="Q143" s="92"/>
      <c r="R143" s="92"/>
      <c r="T143" s="92"/>
      <c r="U143" s="92"/>
      <c r="V143" s="92"/>
      <c r="W143" s="92"/>
      <c r="X143" s="92"/>
      <c r="Y143" s="92"/>
      <c r="Z143" s="92"/>
      <c r="AA143" s="92"/>
      <c r="AB143" s="92"/>
      <c r="AC143" s="92"/>
      <c r="AD143" s="92"/>
      <c r="AE143" s="92"/>
    </row>
    <row r="144" spans="1:31" s="26" customFormat="1">
      <c r="A144" s="145"/>
      <c r="B144" s="133"/>
      <c r="C144" s="92"/>
      <c r="D144" s="92"/>
      <c r="E144" s="92"/>
      <c r="F144" s="92"/>
      <c r="G144" s="92"/>
      <c r="H144" s="92"/>
      <c r="I144" s="92"/>
      <c r="J144" s="92"/>
      <c r="K144" s="92"/>
      <c r="L144" s="92"/>
      <c r="M144" s="92"/>
      <c r="N144" s="92"/>
      <c r="O144" s="92"/>
      <c r="P144" s="92"/>
      <c r="Q144" s="92"/>
      <c r="R144" s="92"/>
      <c r="T144" s="92"/>
      <c r="U144" s="92"/>
      <c r="V144" s="92"/>
      <c r="W144" s="92"/>
      <c r="X144" s="92"/>
      <c r="Y144" s="92"/>
      <c r="Z144" s="92"/>
      <c r="AA144" s="92"/>
      <c r="AB144" s="92"/>
      <c r="AC144" s="92"/>
      <c r="AD144" s="92"/>
      <c r="AE144" s="92"/>
    </row>
    <row r="145" spans="1:31" s="26" customFormat="1">
      <c r="A145" s="145"/>
      <c r="B145" s="133"/>
      <c r="C145" s="92"/>
      <c r="D145" s="92"/>
      <c r="E145" s="92"/>
      <c r="F145" s="92"/>
      <c r="G145" s="92"/>
      <c r="H145" s="92"/>
      <c r="I145" s="92"/>
      <c r="J145" s="92"/>
      <c r="K145" s="92"/>
      <c r="L145" s="92"/>
      <c r="M145" s="92"/>
      <c r="N145" s="92"/>
      <c r="O145" s="92"/>
      <c r="P145" s="92"/>
      <c r="Q145" s="92"/>
      <c r="R145" s="92"/>
      <c r="T145" s="92"/>
      <c r="U145" s="92"/>
      <c r="V145" s="92"/>
      <c r="W145" s="92"/>
      <c r="X145" s="92"/>
      <c r="Y145" s="92"/>
      <c r="Z145" s="92"/>
      <c r="AA145" s="92"/>
      <c r="AB145" s="92"/>
      <c r="AC145" s="92"/>
      <c r="AD145" s="92"/>
      <c r="AE145" s="92"/>
    </row>
    <row r="146" spans="1:31" s="26" customFormat="1">
      <c r="A146" s="145"/>
      <c r="B146" s="133"/>
      <c r="C146" s="92"/>
      <c r="D146" s="92"/>
      <c r="E146" s="92"/>
      <c r="F146" s="92"/>
      <c r="G146" s="92"/>
      <c r="H146" s="92"/>
      <c r="I146" s="92"/>
      <c r="J146" s="92"/>
      <c r="K146" s="92"/>
      <c r="L146" s="92"/>
      <c r="M146" s="92"/>
      <c r="N146" s="92"/>
      <c r="O146" s="92"/>
      <c r="P146" s="92"/>
      <c r="Q146" s="92"/>
      <c r="R146" s="92"/>
      <c r="T146" s="92"/>
      <c r="U146" s="92"/>
      <c r="V146" s="92"/>
      <c r="W146" s="92"/>
      <c r="X146" s="92"/>
      <c r="Y146" s="92"/>
      <c r="Z146" s="92"/>
      <c r="AA146" s="92"/>
      <c r="AB146" s="92"/>
      <c r="AC146" s="92"/>
      <c r="AD146" s="92"/>
      <c r="AE146" s="92"/>
    </row>
    <row r="147" spans="1:31" s="26" customFormat="1">
      <c r="A147" s="145"/>
      <c r="B147" s="133"/>
      <c r="C147" s="92"/>
      <c r="D147" s="92"/>
      <c r="E147" s="92"/>
      <c r="F147" s="92"/>
      <c r="G147" s="92"/>
      <c r="H147" s="92"/>
      <c r="I147" s="92"/>
      <c r="J147" s="92"/>
      <c r="K147" s="92"/>
      <c r="L147" s="92"/>
      <c r="M147" s="92"/>
      <c r="N147" s="92"/>
      <c r="O147" s="92"/>
      <c r="P147" s="92"/>
      <c r="Q147" s="92"/>
      <c r="R147" s="92"/>
      <c r="T147" s="92"/>
      <c r="U147" s="92"/>
      <c r="V147" s="92"/>
      <c r="W147" s="92"/>
      <c r="X147" s="92"/>
      <c r="Y147" s="92"/>
      <c r="Z147" s="92"/>
      <c r="AA147" s="92"/>
      <c r="AB147" s="92"/>
      <c r="AC147" s="92"/>
      <c r="AD147" s="92"/>
      <c r="AE147" s="92"/>
    </row>
    <row r="148" spans="1:31" s="26" customFormat="1">
      <c r="A148" s="145"/>
      <c r="B148" s="133"/>
      <c r="C148" s="92"/>
      <c r="D148" s="92"/>
      <c r="E148" s="92"/>
      <c r="F148" s="92"/>
      <c r="G148" s="92"/>
      <c r="H148" s="92"/>
      <c r="I148" s="92"/>
      <c r="J148" s="92"/>
      <c r="K148" s="92"/>
      <c r="L148" s="92"/>
      <c r="M148" s="92"/>
      <c r="N148" s="92"/>
      <c r="O148" s="92"/>
      <c r="P148" s="92"/>
      <c r="Q148" s="92"/>
      <c r="R148" s="92"/>
      <c r="T148" s="92"/>
      <c r="U148" s="92"/>
      <c r="V148" s="92"/>
      <c r="W148" s="92"/>
      <c r="X148" s="92"/>
      <c r="Y148" s="92"/>
      <c r="Z148" s="92"/>
      <c r="AA148" s="92"/>
      <c r="AB148" s="92"/>
      <c r="AC148" s="92"/>
      <c r="AD148" s="92"/>
      <c r="AE148" s="92"/>
    </row>
    <row r="149" spans="1:31" s="26" customFormat="1">
      <c r="A149" s="145"/>
      <c r="B149" s="133"/>
      <c r="C149" s="92"/>
      <c r="D149" s="92"/>
      <c r="E149" s="92"/>
      <c r="F149" s="92"/>
      <c r="G149" s="92"/>
      <c r="H149" s="92"/>
      <c r="I149" s="92"/>
      <c r="J149" s="92"/>
      <c r="K149" s="92"/>
      <c r="L149" s="92"/>
      <c r="M149" s="92"/>
      <c r="N149" s="92"/>
      <c r="O149" s="92"/>
      <c r="P149" s="92"/>
      <c r="Q149" s="92"/>
      <c r="R149" s="92"/>
      <c r="T149" s="92"/>
      <c r="U149" s="92"/>
      <c r="V149" s="92"/>
      <c r="W149" s="92"/>
      <c r="X149" s="92"/>
      <c r="Y149" s="92"/>
      <c r="Z149" s="92"/>
      <c r="AA149" s="92"/>
      <c r="AB149" s="92"/>
      <c r="AC149" s="92"/>
      <c r="AD149" s="92"/>
      <c r="AE149" s="92"/>
    </row>
    <row r="150" spans="1:31" s="26" customFormat="1">
      <c r="A150" s="145"/>
      <c r="B150" s="133"/>
      <c r="C150" s="92"/>
      <c r="D150" s="92"/>
      <c r="E150" s="92"/>
      <c r="F150" s="92"/>
      <c r="G150" s="92"/>
      <c r="H150" s="92"/>
      <c r="I150" s="92"/>
      <c r="J150" s="92"/>
      <c r="K150" s="92"/>
      <c r="L150" s="92"/>
      <c r="M150" s="92"/>
      <c r="N150" s="92"/>
      <c r="O150" s="92"/>
      <c r="P150" s="92"/>
      <c r="Q150" s="92"/>
      <c r="R150" s="92"/>
      <c r="T150" s="92"/>
      <c r="U150" s="92"/>
      <c r="V150" s="92"/>
      <c r="W150" s="92"/>
      <c r="X150" s="92"/>
      <c r="Y150" s="92"/>
      <c r="Z150" s="92"/>
      <c r="AA150" s="92"/>
      <c r="AB150" s="92"/>
      <c r="AC150" s="92"/>
      <c r="AD150" s="92"/>
      <c r="AE150" s="92"/>
    </row>
    <row r="151" spans="1:31" s="26" customFormat="1">
      <c r="A151" s="145"/>
      <c r="B151" s="133"/>
      <c r="C151" s="92"/>
      <c r="D151" s="92"/>
      <c r="E151" s="92"/>
      <c r="F151" s="92"/>
      <c r="G151" s="92"/>
      <c r="H151" s="92"/>
      <c r="I151" s="92"/>
      <c r="J151" s="92"/>
      <c r="K151" s="92"/>
      <c r="L151" s="92"/>
      <c r="M151" s="92"/>
      <c r="N151" s="92"/>
      <c r="O151" s="92"/>
      <c r="P151" s="92"/>
      <c r="Q151" s="92"/>
      <c r="R151" s="92"/>
      <c r="T151" s="92"/>
      <c r="U151" s="92"/>
      <c r="V151" s="92"/>
      <c r="W151" s="92"/>
      <c r="X151" s="92"/>
      <c r="Y151" s="92"/>
      <c r="Z151" s="92"/>
      <c r="AA151" s="92"/>
      <c r="AB151" s="92"/>
      <c r="AC151" s="92"/>
      <c r="AD151" s="92"/>
      <c r="AE151" s="92"/>
    </row>
    <row r="152" spans="1:31" s="26" customFormat="1">
      <c r="A152" s="145"/>
      <c r="B152" s="133"/>
      <c r="C152" s="92"/>
      <c r="D152" s="92"/>
      <c r="E152" s="92"/>
      <c r="F152" s="92"/>
      <c r="G152" s="92"/>
      <c r="H152" s="92"/>
      <c r="I152" s="92"/>
      <c r="J152" s="92"/>
      <c r="K152" s="92"/>
      <c r="L152" s="92"/>
      <c r="M152" s="92"/>
      <c r="N152" s="92"/>
      <c r="O152" s="92"/>
      <c r="P152" s="92"/>
      <c r="Q152" s="92"/>
      <c r="R152" s="92"/>
      <c r="T152" s="92"/>
      <c r="U152" s="92"/>
      <c r="V152" s="92"/>
      <c r="W152" s="92"/>
      <c r="X152" s="92"/>
      <c r="Y152" s="92"/>
      <c r="Z152" s="92"/>
      <c r="AA152" s="92"/>
      <c r="AB152" s="92"/>
      <c r="AC152" s="92"/>
      <c r="AD152" s="92"/>
      <c r="AE152" s="92"/>
    </row>
    <row r="153" spans="1:31" s="26" customFormat="1">
      <c r="A153" s="145"/>
      <c r="B153" s="133"/>
      <c r="C153" s="92"/>
      <c r="D153" s="92"/>
      <c r="E153" s="92"/>
      <c r="F153" s="92"/>
      <c r="G153" s="92"/>
      <c r="H153" s="92"/>
      <c r="I153" s="92"/>
      <c r="J153" s="92"/>
      <c r="K153" s="92"/>
      <c r="L153" s="92"/>
      <c r="M153" s="92"/>
      <c r="N153" s="92"/>
      <c r="O153" s="92"/>
      <c r="P153" s="92"/>
      <c r="Q153" s="92"/>
      <c r="R153" s="92"/>
      <c r="T153" s="92"/>
      <c r="U153" s="92"/>
      <c r="V153" s="92"/>
      <c r="W153" s="92"/>
      <c r="X153" s="92"/>
      <c r="Y153" s="92"/>
      <c r="Z153" s="92"/>
      <c r="AA153" s="92"/>
      <c r="AB153" s="92"/>
      <c r="AC153" s="92"/>
      <c r="AD153" s="92"/>
      <c r="AE153" s="92"/>
    </row>
    <row r="154" spans="1:31" s="26" customFormat="1">
      <c r="A154" s="145"/>
      <c r="B154" s="133"/>
      <c r="C154" s="92"/>
      <c r="D154" s="92"/>
      <c r="E154" s="92"/>
      <c r="F154" s="92"/>
      <c r="G154" s="92"/>
      <c r="H154" s="92"/>
      <c r="I154" s="92"/>
      <c r="J154" s="92"/>
      <c r="K154" s="92"/>
      <c r="L154" s="92"/>
      <c r="M154" s="92"/>
      <c r="N154" s="92"/>
      <c r="O154" s="92"/>
      <c r="P154" s="92"/>
      <c r="Q154" s="92"/>
      <c r="R154" s="92"/>
      <c r="T154" s="92"/>
      <c r="U154" s="92"/>
      <c r="V154" s="92"/>
      <c r="W154" s="92"/>
      <c r="X154" s="92"/>
      <c r="Y154" s="92"/>
      <c r="Z154" s="92"/>
      <c r="AA154" s="92"/>
      <c r="AB154" s="92"/>
      <c r="AC154" s="92"/>
      <c r="AD154" s="92"/>
      <c r="AE154" s="92"/>
    </row>
    <row r="155" spans="1:31" s="26" customFormat="1">
      <c r="A155" s="145"/>
      <c r="B155" s="133"/>
      <c r="C155" s="92"/>
      <c r="D155" s="92"/>
      <c r="E155" s="92"/>
      <c r="F155" s="92"/>
      <c r="G155" s="92"/>
      <c r="H155" s="92"/>
      <c r="I155" s="92"/>
      <c r="J155" s="92"/>
      <c r="K155" s="92"/>
      <c r="L155" s="92"/>
      <c r="M155" s="92"/>
      <c r="N155" s="92"/>
      <c r="O155" s="92"/>
      <c r="P155" s="92"/>
      <c r="Q155" s="92"/>
      <c r="R155" s="92"/>
      <c r="T155" s="92"/>
      <c r="U155" s="92"/>
      <c r="V155" s="92"/>
      <c r="W155" s="92"/>
      <c r="X155" s="92"/>
      <c r="Y155" s="92"/>
      <c r="Z155" s="92"/>
      <c r="AA155" s="92"/>
      <c r="AB155" s="92"/>
      <c r="AC155" s="92"/>
      <c r="AD155" s="92"/>
      <c r="AE155" s="92"/>
    </row>
    <row r="156" spans="1:31" s="26" customFormat="1">
      <c r="A156" s="145"/>
      <c r="B156" s="133"/>
      <c r="C156" s="92"/>
      <c r="D156" s="92"/>
      <c r="E156" s="92"/>
      <c r="F156" s="92"/>
      <c r="G156" s="92"/>
      <c r="H156" s="92"/>
      <c r="I156" s="92"/>
      <c r="J156" s="92"/>
      <c r="K156" s="92"/>
      <c r="L156" s="92"/>
      <c r="M156" s="92"/>
      <c r="N156" s="92"/>
      <c r="O156" s="92"/>
      <c r="P156" s="92"/>
      <c r="Q156" s="92"/>
      <c r="R156" s="92"/>
      <c r="T156" s="92"/>
      <c r="U156" s="92"/>
      <c r="V156" s="92"/>
      <c r="W156" s="92"/>
      <c r="X156" s="92"/>
      <c r="Y156" s="92"/>
      <c r="Z156" s="92"/>
      <c r="AA156" s="92"/>
      <c r="AB156" s="92"/>
      <c r="AC156" s="92"/>
      <c r="AD156" s="92"/>
      <c r="AE156" s="92"/>
    </row>
    <row r="157" spans="1:31" s="26" customFormat="1">
      <c r="A157" s="145"/>
      <c r="B157" s="133"/>
      <c r="C157" s="92"/>
      <c r="D157" s="92"/>
      <c r="E157" s="92"/>
      <c r="F157" s="92"/>
      <c r="G157" s="92"/>
      <c r="H157" s="92"/>
      <c r="I157" s="92"/>
      <c r="J157" s="92"/>
      <c r="K157" s="92"/>
      <c r="L157" s="92"/>
      <c r="M157" s="92"/>
      <c r="N157" s="92"/>
      <c r="O157" s="92"/>
      <c r="P157" s="92"/>
      <c r="Q157" s="92"/>
      <c r="R157" s="92"/>
      <c r="T157" s="92"/>
      <c r="U157" s="92"/>
      <c r="V157" s="92"/>
      <c r="W157" s="92"/>
      <c r="X157" s="92"/>
      <c r="Y157" s="92"/>
      <c r="Z157" s="92"/>
      <c r="AA157" s="92"/>
      <c r="AB157" s="92"/>
      <c r="AC157" s="92"/>
      <c r="AD157" s="92"/>
      <c r="AE157" s="92"/>
    </row>
    <row r="158" spans="1:31" s="26" customFormat="1">
      <c r="A158" s="145"/>
      <c r="B158" s="133"/>
      <c r="C158" s="92"/>
      <c r="D158" s="92"/>
      <c r="E158" s="92"/>
      <c r="F158" s="92"/>
      <c r="G158" s="92"/>
      <c r="H158" s="92"/>
      <c r="I158" s="92"/>
      <c r="J158" s="92"/>
      <c r="K158" s="92"/>
      <c r="L158" s="92"/>
      <c r="M158" s="92"/>
      <c r="N158" s="92"/>
      <c r="O158" s="92"/>
      <c r="P158" s="92"/>
      <c r="Q158" s="92"/>
      <c r="R158" s="92"/>
      <c r="T158" s="92"/>
      <c r="U158" s="92"/>
      <c r="V158" s="92"/>
      <c r="W158" s="92"/>
      <c r="X158" s="92"/>
      <c r="Y158" s="92"/>
      <c r="Z158" s="92"/>
      <c r="AA158" s="92"/>
      <c r="AB158" s="92"/>
      <c r="AC158" s="92"/>
      <c r="AD158" s="92"/>
      <c r="AE158" s="92"/>
    </row>
    <row r="159" spans="1:31" s="26" customFormat="1">
      <c r="A159" s="145"/>
      <c r="B159" s="133"/>
      <c r="C159" s="92"/>
      <c r="D159" s="92"/>
      <c r="E159" s="92"/>
      <c r="F159" s="92"/>
      <c r="G159" s="92"/>
      <c r="H159" s="92"/>
      <c r="I159" s="92"/>
      <c r="J159" s="92"/>
      <c r="K159" s="92"/>
      <c r="L159" s="92"/>
      <c r="M159" s="92"/>
      <c r="N159" s="92"/>
      <c r="O159" s="92"/>
      <c r="P159" s="92"/>
      <c r="Q159" s="92"/>
      <c r="R159" s="92"/>
      <c r="T159" s="92"/>
      <c r="U159" s="92"/>
      <c r="V159" s="92"/>
      <c r="W159" s="92"/>
      <c r="X159" s="92"/>
      <c r="Y159" s="92"/>
      <c r="Z159" s="92"/>
      <c r="AA159" s="92"/>
      <c r="AB159" s="92"/>
      <c r="AC159" s="92"/>
      <c r="AD159" s="92"/>
      <c r="AE159" s="92"/>
    </row>
    <row r="160" spans="1:31" s="26" customFormat="1">
      <c r="A160" s="145"/>
      <c r="B160" s="133"/>
      <c r="C160" s="92"/>
      <c r="D160" s="92"/>
      <c r="E160" s="92"/>
      <c r="F160" s="92"/>
      <c r="G160" s="92"/>
      <c r="H160" s="92"/>
      <c r="I160" s="92"/>
      <c r="J160" s="92"/>
      <c r="K160" s="92"/>
      <c r="L160" s="92"/>
      <c r="M160" s="92"/>
      <c r="N160" s="92"/>
      <c r="O160" s="92"/>
      <c r="P160" s="92"/>
      <c r="Q160" s="92"/>
      <c r="R160" s="92"/>
      <c r="T160" s="92"/>
      <c r="U160" s="92"/>
      <c r="V160" s="92"/>
      <c r="W160" s="92"/>
      <c r="X160" s="92"/>
      <c r="Y160" s="92"/>
      <c r="Z160" s="92"/>
      <c r="AA160" s="92"/>
      <c r="AB160" s="92"/>
      <c r="AC160" s="92"/>
      <c r="AD160" s="92"/>
      <c r="AE160" s="92"/>
    </row>
    <row r="161" spans="1:31" s="26" customFormat="1">
      <c r="A161" s="145"/>
      <c r="B161" s="133"/>
      <c r="C161" s="92"/>
      <c r="D161" s="92"/>
      <c r="E161" s="92"/>
      <c r="F161" s="92"/>
      <c r="G161" s="92"/>
      <c r="H161" s="92"/>
      <c r="I161" s="92"/>
      <c r="J161" s="92"/>
      <c r="K161" s="92"/>
      <c r="L161" s="92"/>
      <c r="M161" s="92"/>
      <c r="N161" s="92"/>
      <c r="O161" s="92"/>
      <c r="P161" s="92"/>
      <c r="Q161" s="92"/>
      <c r="R161" s="92"/>
      <c r="T161" s="92"/>
      <c r="U161" s="92"/>
      <c r="V161" s="92"/>
      <c r="W161" s="92"/>
      <c r="X161" s="92"/>
      <c r="Y161" s="92"/>
      <c r="Z161" s="92"/>
      <c r="AA161" s="92"/>
      <c r="AB161" s="92"/>
      <c r="AC161" s="92"/>
      <c r="AD161" s="92"/>
      <c r="AE161" s="92"/>
    </row>
    <row r="162" spans="1:31" s="26" customFormat="1">
      <c r="A162" s="145"/>
      <c r="B162" s="133"/>
      <c r="C162" s="92"/>
      <c r="D162" s="92"/>
      <c r="E162" s="92"/>
      <c r="F162" s="92"/>
      <c r="G162" s="92"/>
      <c r="H162" s="92"/>
      <c r="I162" s="92"/>
      <c r="J162" s="92"/>
      <c r="K162" s="92"/>
      <c r="L162" s="92"/>
      <c r="M162" s="92"/>
      <c r="N162" s="92"/>
      <c r="O162" s="92"/>
      <c r="P162" s="92"/>
      <c r="Q162" s="92"/>
      <c r="R162" s="92"/>
      <c r="T162" s="92"/>
      <c r="U162" s="92"/>
      <c r="V162" s="92"/>
      <c r="W162" s="92"/>
      <c r="X162" s="92"/>
      <c r="Y162" s="92"/>
      <c r="Z162" s="92"/>
      <c r="AA162" s="92"/>
      <c r="AB162" s="92"/>
      <c r="AC162" s="92"/>
      <c r="AD162" s="92"/>
      <c r="AE162" s="92"/>
    </row>
    <row r="163" spans="1:31" s="26" customFormat="1">
      <c r="A163" s="145"/>
      <c r="B163" s="133"/>
      <c r="C163" s="92"/>
      <c r="D163" s="92"/>
      <c r="E163" s="92"/>
      <c r="F163" s="92"/>
      <c r="G163" s="92"/>
      <c r="H163" s="92"/>
      <c r="I163" s="92"/>
      <c r="J163" s="92"/>
      <c r="K163" s="92"/>
      <c r="L163" s="92"/>
      <c r="M163" s="92"/>
      <c r="N163" s="92"/>
      <c r="O163" s="92"/>
      <c r="P163" s="92"/>
      <c r="Q163" s="92"/>
      <c r="R163" s="92"/>
      <c r="T163" s="92"/>
      <c r="U163" s="92"/>
      <c r="V163" s="92"/>
      <c r="W163" s="92"/>
      <c r="X163" s="92"/>
      <c r="Y163" s="92"/>
      <c r="Z163" s="92"/>
      <c r="AA163" s="92"/>
      <c r="AB163" s="92"/>
      <c r="AC163" s="92"/>
      <c r="AD163" s="92"/>
      <c r="AE163" s="92"/>
    </row>
    <row r="164" spans="1:31" s="26" customFormat="1">
      <c r="A164" s="145"/>
      <c r="B164" s="133"/>
      <c r="C164" s="92"/>
      <c r="D164" s="92"/>
      <c r="E164" s="92"/>
      <c r="F164" s="92"/>
      <c r="G164" s="92"/>
      <c r="H164" s="92"/>
      <c r="I164" s="92"/>
      <c r="J164" s="92"/>
      <c r="K164" s="92"/>
      <c r="L164" s="92"/>
      <c r="M164" s="92"/>
      <c r="N164" s="92"/>
      <c r="O164" s="92"/>
      <c r="P164" s="92"/>
      <c r="Q164" s="92"/>
      <c r="R164" s="92"/>
      <c r="T164" s="92"/>
      <c r="U164" s="92"/>
      <c r="V164" s="92"/>
      <c r="W164" s="92"/>
      <c r="X164" s="92"/>
      <c r="Y164" s="92"/>
      <c r="Z164" s="92"/>
      <c r="AA164" s="92"/>
      <c r="AB164" s="92"/>
      <c r="AC164" s="92"/>
      <c r="AD164" s="92"/>
      <c r="AE164" s="92"/>
    </row>
    <row r="165" spans="1:31" s="26" customFormat="1">
      <c r="A165" s="145"/>
      <c r="B165" s="133"/>
      <c r="C165" s="92"/>
      <c r="D165" s="92"/>
      <c r="E165" s="92"/>
      <c r="F165" s="92"/>
      <c r="G165" s="92"/>
      <c r="H165" s="92"/>
      <c r="I165" s="92"/>
      <c r="J165" s="92"/>
      <c r="K165" s="92"/>
      <c r="L165" s="92"/>
      <c r="M165" s="92"/>
      <c r="N165" s="92"/>
      <c r="O165" s="92"/>
      <c r="P165" s="92"/>
      <c r="Q165" s="92"/>
      <c r="R165" s="92"/>
      <c r="T165" s="92"/>
      <c r="U165" s="92"/>
      <c r="V165" s="92"/>
      <c r="W165" s="92"/>
      <c r="X165" s="92"/>
      <c r="Y165" s="92"/>
      <c r="Z165" s="92"/>
      <c r="AA165" s="92"/>
      <c r="AB165" s="92"/>
      <c r="AC165" s="92"/>
      <c r="AD165" s="92"/>
      <c r="AE165" s="92"/>
    </row>
    <row r="166" spans="1:31" s="26" customFormat="1">
      <c r="A166" s="145"/>
      <c r="B166" s="133"/>
      <c r="C166" s="92"/>
      <c r="D166" s="92"/>
      <c r="E166" s="92"/>
      <c r="F166" s="92"/>
      <c r="G166" s="92"/>
      <c r="H166" s="92"/>
      <c r="I166" s="92"/>
      <c r="J166" s="92"/>
      <c r="K166" s="92"/>
      <c r="L166" s="92"/>
      <c r="M166" s="92"/>
      <c r="N166" s="92"/>
      <c r="O166" s="92"/>
      <c r="P166" s="92"/>
      <c r="Q166" s="92"/>
      <c r="R166" s="92"/>
      <c r="T166" s="92"/>
      <c r="U166" s="92"/>
      <c r="V166" s="92"/>
      <c r="W166" s="92"/>
      <c r="X166" s="92"/>
      <c r="Y166" s="92"/>
      <c r="Z166" s="92"/>
      <c r="AA166" s="92"/>
      <c r="AB166" s="92"/>
      <c r="AC166" s="92"/>
      <c r="AD166" s="92"/>
      <c r="AE166" s="92"/>
    </row>
    <row r="167" spans="1:31" s="26" customFormat="1">
      <c r="A167" s="145"/>
      <c r="B167" s="133"/>
      <c r="C167" s="92"/>
      <c r="D167" s="92"/>
      <c r="E167" s="92"/>
      <c r="F167" s="92"/>
      <c r="G167" s="92"/>
      <c r="H167" s="92"/>
      <c r="I167" s="92"/>
      <c r="J167" s="92"/>
      <c r="K167" s="92"/>
      <c r="L167" s="92"/>
      <c r="M167" s="92"/>
      <c r="N167" s="92"/>
      <c r="O167" s="92"/>
      <c r="P167" s="92"/>
      <c r="Q167" s="92"/>
      <c r="R167" s="92"/>
      <c r="T167" s="92"/>
      <c r="U167" s="92"/>
      <c r="V167" s="92"/>
      <c r="W167" s="92"/>
      <c r="X167" s="92"/>
      <c r="Y167" s="92"/>
      <c r="Z167" s="92"/>
      <c r="AA167" s="92"/>
      <c r="AB167" s="92"/>
      <c r="AC167" s="92"/>
      <c r="AD167" s="92"/>
      <c r="AE167" s="92"/>
    </row>
    <row r="168" spans="1:31" s="26" customFormat="1">
      <c r="A168" s="145"/>
      <c r="B168" s="133"/>
      <c r="C168" s="92"/>
      <c r="D168" s="92"/>
      <c r="E168" s="92"/>
      <c r="F168" s="92"/>
      <c r="G168" s="92"/>
      <c r="H168" s="92"/>
      <c r="I168" s="92"/>
      <c r="J168" s="92"/>
      <c r="K168" s="92"/>
      <c r="L168" s="92"/>
      <c r="M168" s="92"/>
      <c r="N168" s="92"/>
      <c r="O168" s="92"/>
      <c r="P168" s="92"/>
      <c r="Q168" s="92"/>
      <c r="R168" s="92"/>
      <c r="T168" s="92"/>
      <c r="U168" s="92"/>
      <c r="V168" s="92"/>
      <c r="W168" s="92"/>
      <c r="X168" s="92"/>
      <c r="Y168" s="92"/>
      <c r="Z168" s="92"/>
      <c r="AA168" s="92"/>
      <c r="AB168" s="92"/>
      <c r="AC168" s="92"/>
      <c r="AD168" s="92"/>
      <c r="AE168" s="92"/>
    </row>
    <row r="169" spans="1:31" s="26" customFormat="1">
      <c r="A169" s="145"/>
      <c r="B169" s="133"/>
      <c r="C169" s="92"/>
      <c r="D169" s="92"/>
      <c r="E169" s="92"/>
      <c r="F169" s="92"/>
      <c r="G169" s="92"/>
      <c r="H169" s="92"/>
      <c r="I169" s="92"/>
      <c r="J169" s="92"/>
      <c r="K169" s="92"/>
      <c r="L169" s="92"/>
      <c r="M169" s="92"/>
      <c r="N169" s="92"/>
      <c r="O169" s="92"/>
      <c r="P169" s="92"/>
      <c r="Q169" s="92"/>
      <c r="R169" s="92"/>
      <c r="T169" s="92"/>
      <c r="U169" s="92"/>
      <c r="V169" s="92"/>
      <c r="W169" s="92"/>
      <c r="X169" s="92"/>
      <c r="Y169" s="92"/>
      <c r="Z169" s="92"/>
      <c r="AA169" s="92"/>
      <c r="AB169" s="92"/>
      <c r="AC169" s="92"/>
      <c r="AD169" s="92"/>
      <c r="AE169" s="92"/>
    </row>
    <row r="170" spans="1:31" s="26" customFormat="1">
      <c r="A170" s="145"/>
      <c r="B170" s="133"/>
      <c r="C170" s="92"/>
      <c r="D170" s="92"/>
      <c r="E170" s="92"/>
      <c r="F170" s="92"/>
      <c r="G170" s="92"/>
      <c r="H170" s="92"/>
      <c r="I170" s="92"/>
      <c r="J170" s="92"/>
      <c r="K170" s="92"/>
      <c r="L170" s="92"/>
      <c r="M170" s="92"/>
      <c r="N170" s="92"/>
      <c r="O170" s="92"/>
      <c r="P170" s="92"/>
      <c r="Q170" s="92"/>
      <c r="R170" s="92"/>
      <c r="T170" s="92"/>
      <c r="U170" s="92"/>
      <c r="V170" s="92"/>
      <c r="W170" s="92"/>
      <c r="X170" s="92"/>
      <c r="Y170" s="92"/>
      <c r="Z170" s="92"/>
      <c r="AA170" s="92"/>
      <c r="AB170" s="92"/>
      <c r="AC170" s="92"/>
      <c r="AD170" s="92"/>
      <c r="AE170" s="92"/>
    </row>
    <row r="171" spans="1:31" s="26" customFormat="1">
      <c r="A171" s="145"/>
      <c r="B171" s="133"/>
      <c r="C171" s="92"/>
      <c r="D171" s="92"/>
      <c r="E171" s="92"/>
      <c r="F171" s="92"/>
      <c r="G171" s="92"/>
      <c r="H171" s="92"/>
      <c r="I171" s="92"/>
      <c r="J171" s="92"/>
      <c r="K171" s="92"/>
      <c r="L171" s="92"/>
      <c r="M171" s="92"/>
      <c r="N171" s="92"/>
      <c r="O171" s="92"/>
      <c r="P171" s="92"/>
      <c r="Q171" s="92"/>
      <c r="R171" s="92"/>
      <c r="T171" s="92"/>
      <c r="U171" s="92"/>
      <c r="V171" s="92"/>
      <c r="W171" s="92"/>
      <c r="X171" s="92"/>
      <c r="Y171" s="92"/>
      <c r="Z171" s="92"/>
      <c r="AA171" s="92"/>
      <c r="AB171" s="92"/>
      <c r="AC171" s="92"/>
      <c r="AD171" s="92"/>
      <c r="AE171" s="92"/>
    </row>
    <row r="172" spans="1:31" s="26" customFormat="1">
      <c r="A172" s="145"/>
      <c r="B172" s="133"/>
      <c r="C172" s="92"/>
      <c r="D172" s="92"/>
      <c r="E172" s="92"/>
      <c r="F172" s="92"/>
      <c r="G172" s="92"/>
      <c r="H172" s="92"/>
      <c r="I172" s="92"/>
      <c r="J172" s="92"/>
      <c r="K172" s="92"/>
      <c r="L172" s="92"/>
      <c r="M172" s="92"/>
      <c r="N172" s="92"/>
      <c r="O172" s="92"/>
      <c r="P172" s="92"/>
      <c r="Q172" s="92"/>
      <c r="R172" s="92"/>
      <c r="T172" s="92"/>
      <c r="U172" s="92"/>
      <c r="V172" s="92"/>
      <c r="W172" s="92"/>
      <c r="X172" s="92"/>
      <c r="Y172" s="92"/>
      <c r="Z172" s="92"/>
      <c r="AA172" s="92"/>
      <c r="AB172" s="92"/>
      <c r="AC172" s="92"/>
      <c r="AD172" s="92"/>
      <c r="AE172" s="92"/>
    </row>
    <row r="173" spans="1:31" s="26" customFormat="1">
      <c r="A173" s="145"/>
      <c r="B173" s="133"/>
      <c r="C173" s="92"/>
      <c r="D173" s="92"/>
      <c r="E173" s="92"/>
      <c r="F173" s="92"/>
      <c r="G173" s="92"/>
      <c r="H173" s="92"/>
      <c r="I173" s="92"/>
      <c r="J173" s="92"/>
      <c r="K173" s="92"/>
      <c r="L173" s="92"/>
      <c r="M173" s="92"/>
      <c r="N173" s="92"/>
      <c r="O173" s="92"/>
      <c r="P173" s="92"/>
      <c r="Q173" s="92"/>
      <c r="R173" s="92"/>
      <c r="T173" s="92"/>
      <c r="U173" s="92"/>
      <c r="V173" s="92"/>
      <c r="W173" s="92"/>
      <c r="X173" s="92"/>
      <c r="Y173" s="92"/>
      <c r="Z173" s="92"/>
      <c r="AA173" s="92"/>
      <c r="AB173" s="92"/>
      <c r="AC173" s="92"/>
      <c r="AD173" s="92"/>
      <c r="AE173" s="92"/>
    </row>
    <row r="174" spans="1:31" s="26" customFormat="1">
      <c r="A174" s="145"/>
      <c r="B174" s="133"/>
      <c r="C174" s="92"/>
      <c r="D174" s="92"/>
      <c r="E174" s="92"/>
      <c r="F174" s="92"/>
      <c r="G174" s="92"/>
      <c r="H174" s="92"/>
      <c r="I174" s="92"/>
      <c r="J174" s="92"/>
      <c r="K174" s="92"/>
      <c r="L174" s="92"/>
      <c r="M174" s="92"/>
      <c r="N174" s="92"/>
      <c r="O174" s="92"/>
      <c r="P174" s="92"/>
      <c r="Q174" s="92"/>
      <c r="R174" s="92"/>
      <c r="T174" s="92"/>
      <c r="U174" s="92"/>
      <c r="V174" s="92"/>
      <c r="W174" s="92"/>
      <c r="X174" s="92"/>
      <c r="Y174" s="92"/>
      <c r="Z174" s="92"/>
      <c r="AA174" s="92"/>
      <c r="AB174" s="92"/>
      <c r="AC174" s="92"/>
      <c r="AD174" s="92"/>
      <c r="AE174" s="92"/>
    </row>
    <row r="175" spans="1:31" s="26" customFormat="1">
      <c r="A175" s="145"/>
      <c r="B175" s="133"/>
      <c r="C175" s="92"/>
      <c r="D175" s="92"/>
      <c r="E175" s="92"/>
      <c r="F175" s="92"/>
      <c r="G175" s="92"/>
      <c r="H175" s="92"/>
      <c r="I175" s="92"/>
      <c r="J175" s="92"/>
      <c r="K175" s="92"/>
      <c r="L175" s="92"/>
      <c r="M175" s="92"/>
      <c r="N175" s="92"/>
      <c r="O175" s="92"/>
      <c r="P175" s="92"/>
      <c r="Q175" s="92"/>
      <c r="R175" s="92"/>
      <c r="T175" s="92"/>
      <c r="U175" s="92"/>
      <c r="V175" s="92"/>
      <c r="W175" s="92"/>
      <c r="X175" s="92"/>
      <c r="Y175" s="92"/>
      <c r="Z175" s="92"/>
      <c r="AA175" s="92"/>
      <c r="AB175" s="92"/>
      <c r="AC175" s="92"/>
      <c r="AD175" s="92"/>
      <c r="AE175" s="92"/>
    </row>
    <row r="176" spans="1:31" s="26" customFormat="1">
      <c r="A176" s="145"/>
      <c r="B176" s="133"/>
      <c r="C176" s="92"/>
      <c r="D176" s="92"/>
      <c r="E176" s="92"/>
      <c r="F176" s="92"/>
      <c r="G176" s="92"/>
      <c r="H176" s="92"/>
      <c r="I176" s="92"/>
      <c r="J176" s="92"/>
      <c r="K176" s="92"/>
      <c r="L176" s="92"/>
      <c r="M176" s="92"/>
      <c r="N176" s="92"/>
      <c r="O176" s="92"/>
      <c r="P176" s="92"/>
      <c r="Q176" s="92"/>
      <c r="R176" s="92"/>
      <c r="T176" s="92"/>
      <c r="U176" s="92"/>
      <c r="V176" s="92"/>
      <c r="W176" s="92"/>
      <c r="X176" s="92"/>
      <c r="Y176" s="92"/>
      <c r="Z176" s="92"/>
      <c r="AA176" s="92"/>
      <c r="AB176" s="92"/>
      <c r="AC176" s="92"/>
      <c r="AD176" s="92"/>
      <c r="AE176" s="92"/>
    </row>
    <row r="177" spans="1:31" s="26" customFormat="1">
      <c r="A177" s="145"/>
      <c r="B177" s="133"/>
      <c r="C177" s="92"/>
      <c r="D177" s="92"/>
      <c r="E177" s="92"/>
      <c r="F177" s="92"/>
      <c r="G177" s="92"/>
      <c r="H177" s="92"/>
      <c r="I177" s="92"/>
      <c r="J177" s="92"/>
      <c r="K177" s="92"/>
      <c r="L177" s="92"/>
      <c r="M177" s="92"/>
      <c r="N177" s="92"/>
      <c r="O177" s="92"/>
      <c r="P177" s="92"/>
      <c r="Q177" s="92"/>
      <c r="R177" s="92"/>
      <c r="T177" s="92"/>
      <c r="U177" s="92"/>
      <c r="V177" s="92"/>
      <c r="W177" s="92"/>
      <c r="X177" s="92"/>
      <c r="Y177" s="92"/>
      <c r="Z177" s="92"/>
      <c r="AA177" s="92"/>
      <c r="AB177" s="92"/>
      <c r="AC177" s="92"/>
      <c r="AD177" s="92"/>
      <c r="AE177" s="92"/>
    </row>
    <row r="178" spans="1:31" s="26" customFormat="1">
      <c r="A178" s="145"/>
      <c r="B178" s="133"/>
      <c r="C178" s="92"/>
      <c r="D178" s="92"/>
      <c r="E178" s="92"/>
      <c r="F178" s="92"/>
      <c r="G178" s="92"/>
      <c r="H178" s="92"/>
      <c r="I178" s="92"/>
      <c r="J178" s="92"/>
      <c r="K178" s="92"/>
      <c r="L178" s="92"/>
      <c r="M178" s="92"/>
      <c r="N178" s="92"/>
      <c r="O178" s="92"/>
      <c r="P178" s="92"/>
      <c r="Q178" s="92"/>
      <c r="R178" s="92"/>
      <c r="T178" s="92"/>
      <c r="U178" s="92"/>
      <c r="V178" s="92"/>
      <c r="W178" s="92"/>
      <c r="X178" s="92"/>
      <c r="Y178" s="92"/>
      <c r="Z178" s="92"/>
      <c r="AA178" s="92"/>
      <c r="AB178" s="92"/>
      <c r="AC178" s="92"/>
      <c r="AD178" s="92"/>
      <c r="AE178" s="92"/>
    </row>
    <row r="179" spans="1:31" s="26" customFormat="1">
      <c r="A179" s="145"/>
      <c r="B179" s="133"/>
      <c r="C179" s="92"/>
      <c r="D179" s="92"/>
      <c r="E179" s="92"/>
      <c r="F179" s="92"/>
      <c r="G179" s="92"/>
      <c r="H179" s="92"/>
      <c r="I179" s="92"/>
      <c r="J179" s="92"/>
      <c r="K179" s="92"/>
      <c r="L179" s="92"/>
      <c r="M179" s="92"/>
      <c r="N179" s="92"/>
      <c r="O179" s="92"/>
      <c r="P179" s="92"/>
      <c r="Q179" s="92"/>
      <c r="R179" s="92"/>
      <c r="T179" s="92"/>
      <c r="U179" s="92"/>
      <c r="V179" s="92"/>
      <c r="W179" s="92"/>
      <c r="X179" s="92"/>
      <c r="Y179" s="92"/>
      <c r="Z179" s="92"/>
      <c r="AA179" s="92"/>
      <c r="AB179" s="92"/>
      <c r="AC179" s="92"/>
      <c r="AD179" s="92"/>
      <c r="AE179" s="92"/>
    </row>
    <row r="180" spans="1:31" s="26" customFormat="1">
      <c r="A180" s="145"/>
      <c r="B180" s="133"/>
      <c r="C180" s="92"/>
      <c r="D180" s="92"/>
      <c r="E180" s="92"/>
      <c r="F180" s="92"/>
      <c r="G180" s="92"/>
      <c r="H180" s="92"/>
      <c r="I180" s="92"/>
      <c r="J180" s="92"/>
      <c r="K180" s="92"/>
      <c r="L180" s="92"/>
      <c r="M180" s="92"/>
      <c r="N180" s="92"/>
      <c r="O180" s="92"/>
      <c r="P180" s="92"/>
      <c r="Q180" s="92"/>
      <c r="R180" s="92"/>
      <c r="T180" s="92"/>
      <c r="U180" s="92"/>
      <c r="V180" s="92"/>
      <c r="W180" s="92"/>
      <c r="X180" s="92"/>
      <c r="Y180" s="92"/>
      <c r="Z180" s="92"/>
      <c r="AA180" s="92"/>
      <c r="AB180" s="92"/>
      <c r="AC180" s="92"/>
      <c r="AD180" s="92"/>
      <c r="AE180" s="92"/>
    </row>
    <row r="181" spans="1:31" s="26" customFormat="1">
      <c r="A181" s="145"/>
      <c r="B181" s="133"/>
      <c r="C181" s="92"/>
      <c r="D181" s="92"/>
      <c r="E181" s="92"/>
      <c r="F181" s="92"/>
      <c r="G181" s="92"/>
      <c r="H181" s="92"/>
      <c r="I181" s="92"/>
      <c r="J181" s="92"/>
      <c r="K181" s="92"/>
      <c r="L181" s="92"/>
      <c r="M181" s="92"/>
      <c r="N181" s="92"/>
      <c r="O181" s="92"/>
      <c r="P181" s="92"/>
      <c r="Q181" s="92"/>
      <c r="R181" s="92"/>
      <c r="T181" s="92"/>
      <c r="U181" s="92"/>
      <c r="V181" s="92"/>
      <c r="W181" s="92"/>
      <c r="X181" s="92"/>
      <c r="Y181" s="92"/>
      <c r="Z181" s="92"/>
      <c r="AA181" s="92"/>
      <c r="AB181" s="92"/>
      <c r="AC181" s="92"/>
      <c r="AD181" s="92"/>
      <c r="AE181" s="92"/>
    </row>
    <row r="182" spans="1:31" s="26" customFormat="1">
      <c r="A182" s="145"/>
      <c r="B182" s="133"/>
      <c r="C182" s="92"/>
      <c r="D182" s="92"/>
      <c r="E182" s="92"/>
      <c r="F182" s="92"/>
      <c r="G182" s="92"/>
      <c r="H182" s="92"/>
      <c r="I182" s="92"/>
      <c r="J182" s="92"/>
      <c r="K182" s="92"/>
      <c r="L182" s="92"/>
      <c r="M182" s="92"/>
      <c r="N182" s="92"/>
      <c r="O182" s="92"/>
      <c r="P182" s="92"/>
      <c r="Q182" s="92"/>
      <c r="R182" s="92"/>
      <c r="T182" s="92"/>
      <c r="U182" s="92"/>
      <c r="V182" s="92"/>
      <c r="W182" s="92"/>
      <c r="X182" s="92"/>
      <c r="Y182" s="92"/>
      <c r="Z182" s="92"/>
      <c r="AA182" s="92"/>
      <c r="AB182" s="92"/>
      <c r="AC182" s="92"/>
      <c r="AD182" s="92"/>
      <c r="AE182" s="92"/>
    </row>
    <row r="183" spans="1:31" s="26" customFormat="1">
      <c r="A183" s="145"/>
      <c r="B183" s="133"/>
      <c r="C183" s="92"/>
      <c r="D183" s="92"/>
      <c r="E183" s="92"/>
      <c r="F183" s="92"/>
      <c r="G183" s="92"/>
      <c r="H183" s="92"/>
      <c r="I183" s="92"/>
      <c r="J183" s="92"/>
      <c r="K183" s="92"/>
      <c r="L183" s="92"/>
      <c r="M183" s="92"/>
      <c r="N183" s="92"/>
      <c r="O183" s="92"/>
      <c r="P183" s="92"/>
      <c r="Q183" s="92"/>
      <c r="R183" s="92"/>
      <c r="T183" s="92"/>
      <c r="U183" s="92"/>
      <c r="V183" s="92"/>
      <c r="W183" s="92"/>
      <c r="X183" s="92"/>
      <c r="Y183" s="92"/>
      <c r="Z183" s="92"/>
      <c r="AA183" s="92"/>
      <c r="AB183" s="92"/>
      <c r="AC183" s="92"/>
      <c r="AD183" s="92"/>
      <c r="AE183" s="92"/>
    </row>
    <row r="184" spans="1:31" s="26" customFormat="1">
      <c r="A184" s="145"/>
      <c r="B184" s="133"/>
      <c r="C184" s="92"/>
      <c r="D184" s="92"/>
      <c r="E184" s="92"/>
      <c r="F184" s="92"/>
      <c r="G184" s="92"/>
      <c r="H184" s="92"/>
      <c r="I184" s="92"/>
      <c r="J184" s="92"/>
      <c r="K184" s="92"/>
      <c r="L184" s="92"/>
      <c r="M184" s="92"/>
      <c r="N184" s="92"/>
      <c r="O184" s="92"/>
      <c r="P184" s="92"/>
      <c r="Q184" s="92"/>
      <c r="R184" s="92"/>
      <c r="T184" s="92"/>
      <c r="U184" s="92"/>
      <c r="V184" s="92"/>
      <c r="W184" s="92"/>
      <c r="X184" s="92"/>
      <c r="Y184" s="92"/>
      <c r="Z184" s="92"/>
      <c r="AA184" s="92"/>
      <c r="AB184" s="92"/>
      <c r="AC184" s="92"/>
      <c r="AD184" s="92"/>
      <c r="AE184" s="92"/>
    </row>
    <row r="185" spans="1:31" s="26" customFormat="1">
      <c r="A185" s="145"/>
      <c r="B185" s="133"/>
      <c r="C185" s="92"/>
      <c r="D185" s="92"/>
      <c r="E185" s="92"/>
      <c r="F185" s="92"/>
      <c r="G185" s="92"/>
      <c r="H185" s="92"/>
      <c r="I185" s="92"/>
      <c r="J185" s="92"/>
      <c r="K185" s="92"/>
      <c r="L185" s="92"/>
      <c r="M185" s="92"/>
      <c r="N185" s="92"/>
      <c r="O185" s="92"/>
      <c r="P185" s="92"/>
      <c r="Q185" s="92"/>
      <c r="R185" s="92"/>
      <c r="T185" s="92"/>
      <c r="U185" s="92"/>
      <c r="V185" s="92"/>
      <c r="W185" s="92"/>
      <c r="X185" s="92"/>
      <c r="Y185" s="92"/>
      <c r="Z185" s="92"/>
      <c r="AA185" s="92"/>
      <c r="AB185" s="92"/>
      <c r="AC185" s="92"/>
      <c r="AD185" s="92"/>
      <c r="AE185" s="92"/>
    </row>
    <row r="186" spans="1:31" s="26" customFormat="1">
      <c r="A186" s="145"/>
      <c r="B186" s="133"/>
      <c r="C186" s="92"/>
      <c r="D186" s="92"/>
      <c r="E186" s="92"/>
      <c r="F186" s="92"/>
      <c r="G186" s="92"/>
      <c r="H186" s="92"/>
      <c r="I186" s="92"/>
      <c r="J186" s="92"/>
      <c r="K186" s="92"/>
      <c r="L186" s="92"/>
      <c r="M186" s="92"/>
      <c r="N186" s="92"/>
      <c r="O186" s="92"/>
      <c r="P186" s="92"/>
      <c r="Q186" s="92"/>
      <c r="R186" s="92"/>
      <c r="T186" s="92"/>
      <c r="U186" s="92"/>
      <c r="V186" s="92"/>
      <c r="W186" s="92"/>
      <c r="X186" s="92"/>
      <c r="Y186" s="92"/>
      <c r="Z186" s="92"/>
      <c r="AA186" s="92"/>
      <c r="AB186" s="92"/>
      <c r="AC186" s="92"/>
      <c r="AD186" s="92"/>
      <c r="AE186" s="92"/>
    </row>
    <row r="187" spans="1:31" s="26" customFormat="1">
      <c r="A187" s="145"/>
      <c r="B187" s="133"/>
      <c r="C187" s="92"/>
      <c r="D187" s="92"/>
      <c r="E187" s="92"/>
      <c r="F187" s="92"/>
      <c r="G187" s="92"/>
      <c r="H187" s="92"/>
      <c r="I187" s="92"/>
      <c r="J187" s="92"/>
      <c r="K187" s="92"/>
      <c r="L187" s="92"/>
      <c r="M187" s="92"/>
      <c r="N187" s="92"/>
      <c r="O187" s="92"/>
      <c r="P187" s="92"/>
      <c r="Q187" s="92"/>
      <c r="R187" s="92"/>
      <c r="T187" s="92"/>
      <c r="U187" s="92"/>
      <c r="V187" s="92"/>
      <c r="W187" s="92"/>
      <c r="X187" s="92"/>
      <c r="Y187" s="92"/>
      <c r="Z187" s="92"/>
      <c r="AA187" s="92"/>
      <c r="AB187" s="92"/>
      <c r="AC187" s="92"/>
      <c r="AD187" s="92"/>
      <c r="AE187" s="92"/>
    </row>
    <row r="188" spans="1:31" s="26" customFormat="1">
      <c r="A188" s="145"/>
      <c r="B188" s="133"/>
      <c r="C188" s="92"/>
      <c r="D188" s="92"/>
      <c r="E188" s="92"/>
      <c r="F188" s="92"/>
      <c r="G188" s="92"/>
      <c r="H188" s="92"/>
      <c r="I188" s="92"/>
      <c r="J188" s="92"/>
      <c r="K188" s="92"/>
      <c r="L188" s="92"/>
      <c r="M188" s="92"/>
      <c r="N188" s="92"/>
      <c r="O188" s="92"/>
      <c r="P188" s="92"/>
      <c r="Q188" s="92"/>
      <c r="R188" s="92"/>
      <c r="T188" s="92"/>
      <c r="U188" s="92"/>
      <c r="V188" s="92"/>
      <c r="W188" s="92"/>
      <c r="X188" s="92"/>
      <c r="Y188" s="92"/>
      <c r="Z188" s="92"/>
      <c r="AA188" s="92"/>
      <c r="AB188" s="92"/>
      <c r="AC188" s="92"/>
      <c r="AD188" s="92"/>
      <c r="AE188" s="92"/>
    </row>
    <row r="189" spans="1:31" s="26" customFormat="1">
      <c r="A189" s="145"/>
      <c r="B189" s="133"/>
      <c r="C189" s="92"/>
      <c r="D189" s="92"/>
      <c r="E189" s="92"/>
      <c r="F189" s="92"/>
      <c r="G189" s="92"/>
      <c r="H189" s="92"/>
      <c r="I189" s="92"/>
      <c r="J189" s="92"/>
      <c r="K189" s="92"/>
      <c r="L189" s="92"/>
      <c r="M189" s="92"/>
      <c r="N189" s="92"/>
      <c r="O189" s="92"/>
      <c r="P189" s="92"/>
      <c r="Q189" s="92"/>
      <c r="R189" s="92"/>
      <c r="T189" s="92"/>
      <c r="U189" s="92"/>
      <c r="V189" s="92"/>
      <c r="W189" s="92"/>
      <c r="X189" s="92"/>
      <c r="Y189" s="92"/>
      <c r="Z189" s="92"/>
      <c r="AA189" s="92"/>
      <c r="AB189" s="92"/>
      <c r="AC189" s="92"/>
      <c r="AD189" s="92"/>
      <c r="AE189" s="92"/>
    </row>
    <row r="190" spans="1:31" s="26" customFormat="1">
      <c r="A190" s="145"/>
      <c r="B190" s="133"/>
      <c r="C190" s="92"/>
      <c r="D190" s="92"/>
      <c r="E190" s="92"/>
      <c r="F190" s="92"/>
      <c r="G190" s="92"/>
      <c r="H190" s="92"/>
      <c r="I190" s="92"/>
      <c r="J190" s="92"/>
      <c r="K190" s="92"/>
      <c r="L190" s="92"/>
      <c r="M190" s="92"/>
      <c r="N190" s="92"/>
      <c r="O190" s="92"/>
      <c r="P190" s="92"/>
      <c r="Q190" s="92"/>
      <c r="R190" s="92"/>
      <c r="T190" s="92"/>
      <c r="U190" s="92"/>
      <c r="V190" s="92"/>
      <c r="W190" s="92"/>
      <c r="X190" s="92"/>
      <c r="Y190" s="92"/>
      <c r="Z190" s="92"/>
      <c r="AA190" s="92"/>
      <c r="AB190" s="92"/>
      <c r="AC190" s="92"/>
      <c r="AD190" s="92"/>
      <c r="AE190" s="92"/>
    </row>
    <row r="191" spans="1:31" s="26" customFormat="1">
      <c r="A191" s="145"/>
      <c r="B191" s="133"/>
      <c r="C191" s="92"/>
      <c r="D191" s="92"/>
      <c r="E191" s="92"/>
      <c r="F191" s="92"/>
      <c r="G191" s="92"/>
      <c r="H191" s="92"/>
      <c r="I191" s="92"/>
      <c r="J191" s="92"/>
      <c r="K191" s="92"/>
      <c r="L191" s="92"/>
      <c r="M191" s="92"/>
      <c r="N191" s="92"/>
      <c r="O191" s="92"/>
      <c r="P191" s="92"/>
      <c r="Q191" s="92"/>
      <c r="R191" s="92"/>
      <c r="T191" s="92"/>
      <c r="U191" s="92"/>
      <c r="V191" s="92"/>
      <c r="W191" s="92"/>
      <c r="X191" s="92"/>
      <c r="Y191" s="92"/>
      <c r="Z191" s="92"/>
      <c r="AA191" s="92"/>
      <c r="AB191" s="92"/>
      <c r="AC191" s="92"/>
      <c r="AD191" s="92"/>
      <c r="AE191" s="92"/>
    </row>
    <row r="192" spans="1:31" s="26" customFormat="1">
      <c r="A192" s="145"/>
      <c r="B192" s="133"/>
      <c r="C192" s="92"/>
      <c r="D192" s="92"/>
      <c r="E192" s="92"/>
      <c r="F192" s="92"/>
      <c r="G192" s="92"/>
      <c r="H192" s="92"/>
      <c r="I192" s="92"/>
      <c r="J192" s="92"/>
      <c r="K192" s="92"/>
      <c r="L192" s="92"/>
      <c r="M192" s="92"/>
      <c r="N192" s="92"/>
      <c r="O192" s="92"/>
      <c r="P192" s="92"/>
      <c r="Q192" s="92"/>
      <c r="R192" s="92"/>
      <c r="T192" s="92"/>
      <c r="U192" s="92"/>
      <c r="V192" s="92"/>
      <c r="W192" s="92"/>
      <c r="X192" s="92"/>
      <c r="Y192" s="92"/>
      <c r="Z192" s="92"/>
      <c r="AA192" s="92"/>
      <c r="AB192" s="92"/>
      <c r="AC192" s="92"/>
      <c r="AD192" s="92"/>
      <c r="AE192" s="92"/>
    </row>
    <row r="193" spans="1:31" s="26" customFormat="1">
      <c r="A193" s="145"/>
      <c r="B193" s="133"/>
      <c r="C193" s="92"/>
      <c r="D193" s="92"/>
      <c r="E193" s="92"/>
      <c r="F193" s="92"/>
      <c r="G193" s="92"/>
      <c r="H193" s="92"/>
      <c r="I193" s="92"/>
      <c r="J193" s="92"/>
      <c r="K193" s="92"/>
      <c r="L193" s="92"/>
      <c r="M193" s="92"/>
      <c r="N193" s="92"/>
      <c r="O193" s="92"/>
      <c r="P193" s="92"/>
      <c r="Q193" s="92"/>
      <c r="R193" s="92"/>
      <c r="T193" s="92"/>
      <c r="U193" s="92"/>
      <c r="V193" s="92"/>
      <c r="W193" s="92"/>
      <c r="X193" s="92"/>
      <c r="Y193" s="92"/>
      <c r="Z193" s="92"/>
      <c r="AA193" s="92"/>
      <c r="AB193" s="92"/>
      <c r="AC193" s="92"/>
      <c r="AD193" s="92"/>
      <c r="AE193" s="92"/>
    </row>
    <row r="194" spans="1:31" s="26" customFormat="1">
      <c r="A194" s="145"/>
      <c r="B194" s="133"/>
      <c r="C194" s="92"/>
      <c r="D194" s="92"/>
      <c r="E194" s="92"/>
      <c r="F194" s="92"/>
      <c r="G194" s="92"/>
      <c r="H194" s="92"/>
      <c r="I194" s="92"/>
      <c r="J194" s="92"/>
      <c r="K194" s="92"/>
      <c r="L194" s="92"/>
      <c r="M194" s="92"/>
      <c r="N194" s="92"/>
      <c r="O194" s="92"/>
      <c r="P194" s="92"/>
      <c r="Q194" s="92"/>
      <c r="R194" s="92"/>
      <c r="T194" s="92"/>
      <c r="U194" s="92"/>
      <c r="V194" s="92"/>
      <c r="W194" s="92"/>
      <c r="X194" s="92"/>
      <c r="Y194" s="92"/>
      <c r="Z194" s="92"/>
      <c r="AA194" s="92"/>
      <c r="AB194" s="92"/>
      <c r="AC194" s="92"/>
      <c r="AD194" s="92"/>
      <c r="AE194" s="92"/>
    </row>
    <row r="195" spans="1:31" s="26" customFormat="1">
      <c r="A195" s="145"/>
      <c r="B195" s="133"/>
      <c r="C195" s="92"/>
      <c r="D195" s="92"/>
      <c r="E195" s="92"/>
      <c r="F195" s="92"/>
      <c r="G195" s="92"/>
      <c r="H195" s="92"/>
      <c r="I195" s="92"/>
      <c r="J195" s="92"/>
      <c r="K195" s="92"/>
      <c r="L195" s="92"/>
      <c r="M195" s="92"/>
      <c r="N195" s="92"/>
      <c r="O195" s="92"/>
      <c r="P195" s="92"/>
      <c r="Q195" s="92"/>
      <c r="R195" s="92"/>
      <c r="T195" s="92"/>
      <c r="U195" s="92"/>
      <c r="V195" s="92"/>
      <c r="W195" s="92"/>
      <c r="X195" s="92"/>
      <c r="Y195" s="92"/>
      <c r="Z195" s="92"/>
      <c r="AA195" s="92"/>
      <c r="AB195" s="92"/>
      <c r="AC195" s="92"/>
      <c r="AD195" s="92"/>
      <c r="AE195" s="92"/>
    </row>
    <row r="196" spans="1:31" s="26" customFormat="1">
      <c r="A196" s="145"/>
      <c r="B196" s="133"/>
      <c r="C196" s="92"/>
      <c r="D196" s="92"/>
      <c r="E196" s="92"/>
      <c r="F196" s="92"/>
      <c r="G196" s="92"/>
      <c r="H196" s="92"/>
      <c r="I196" s="92"/>
      <c r="J196" s="92"/>
      <c r="K196" s="92"/>
      <c r="L196" s="92"/>
      <c r="M196" s="92"/>
      <c r="N196" s="92"/>
      <c r="O196" s="92"/>
      <c r="P196" s="92"/>
      <c r="Q196" s="92"/>
      <c r="R196" s="92"/>
      <c r="T196" s="92"/>
      <c r="U196" s="92"/>
      <c r="V196" s="92"/>
      <c r="W196" s="92"/>
      <c r="X196" s="92"/>
      <c r="Y196" s="92"/>
      <c r="Z196" s="92"/>
      <c r="AA196" s="92"/>
      <c r="AB196" s="92"/>
      <c r="AC196" s="92"/>
      <c r="AD196" s="92"/>
      <c r="AE196" s="92"/>
    </row>
    <row r="197" spans="1:31" s="26" customFormat="1">
      <c r="A197" s="145"/>
      <c r="B197" s="133"/>
      <c r="C197" s="92"/>
      <c r="D197" s="92"/>
      <c r="E197" s="92"/>
      <c r="F197" s="92"/>
      <c r="G197" s="92"/>
      <c r="H197" s="92"/>
      <c r="I197" s="92"/>
      <c r="J197" s="92"/>
      <c r="K197" s="92"/>
      <c r="L197" s="92"/>
      <c r="M197" s="92"/>
      <c r="N197" s="92"/>
      <c r="O197" s="92"/>
      <c r="P197" s="92"/>
      <c r="Q197" s="92"/>
      <c r="R197" s="92"/>
      <c r="T197" s="92"/>
      <c r="U197" s="92"/>
      <c r="V197" s="92"/>
      <c r="W197" s="92"/>
      <c r="X197" s="92"/>
      <c r="Y197" s="92"/>
      <c r="Z197" s="92"/>
      <c r="AA197" s="92"/>
      <c r="AB197" s="92"/>
      <c r="AC197" s="92"/>
      <c r="AD197" s="92"/>
      <c r="AE197" s="92"/>
    </row>
    <row r="198" spans="1:31" s="26" customFormat="1">
      <c r="A198" s="145"/>
      <c r="B198" s="133"/>
      <c r="C198" s="92"/>
      <c r="D198" s="92"/>
      <c r="E198" s="92"/>
      <c r="F198" s="92"/>
      <c r="G198" s="92"/>
      <c r="H198" s="92"/>
      <c r="I198" s="92"/>
      <c r="J198" s="92"/>
      <c r="K198" s="92"/>
      <c r="L198" s="92"/>
      <c r="M198" s="92"/>
      <c r="N198" s="92"/>
      <c r="O198" s="92"/>
      <c r="P198" s="92"/>
      <c r="Q198" s="92"/>
      <c r="R198" s="92"/>
      <c r="T198" s="92"/>
      <c r="U198" s="92"/>
      <c r="V198" s="92"/>
      <c r="W198" s="92"/>
      <c r="X198" s="92"/>
      <c r="Y198" s="92"/>
      <c r="Z198" s="92"/>
      <c r="AA198" s="92"/>
      <c r="AB198" s="92"/>
      <c r="AC198" s="92"/>
      <c r="AD198" s="92"/>
      <c r="AE198" s="92"/>
    </row>
    <row r="199" spans="1:31" s="26" customFormat="1">
      <c r="A199" s="145"/>
      <c r="B199" s="133"/>
      <c r="C199" s="92"/>
      <c r="D199" s="92"/>
      <c r="E199" s="92"/>
      <c r="F199" s="92"/>
      <c r="G199" s="92"/>
      <c r="H199" s="92"/>
      <c r="I199" s="92"/>
      <c r="J199" s="92"/>
      <c r="K199" s="92"/>
      <c r="L199" s="92"/>
      <c r="M199" s="92"/>
      <c r="N199" s="92"/>
      <c r="O199" s="92"/>
      <c r="P199" s="92"/>
      <c r="Q199" s="92"/>
      <c r="R199" s="92"/>
      <c r="T199" s="92"/>
      <c r="U199" s="92"/>
      <c r="V199" s="92"/>
      <c r="W199" s="92"/>
      <c r="X199" s="92"/>
      <c r="Y199" s="92"/>
      <c r="Z199" s="92"/>
      <c r="AA199" s="92"/>
      <c r="AB199" s="92"/>
      <c r="AC199" s="92"/>
      <c r="AD199" s="92"/>
      <c r="AE199" s="92"/>
    </row>
    <row r="200" spans="1:31" s="26" customFormat="1">
      <c r="A200" s="145"/>
      <c r="B200" s="133"/>
      <c r="C200" s="92"/>
      <c r="D200" s="92"/>
      <c r="E200" s="92"/>
      <c r="F200" s="92"/>
      <c r="G200" s="92"/>
      <c r="H200" s="92"/>
      <c r="I200" s="92"/>
      <c r="J200" s="92"/>
      <c r="K200" s="92"/>
      <c r="L200" s="92"/>
      <c r="M200" s="92"/>
      <c r="N200" s="92"/>
      <c r="O200" s="92"/>
      <c r="P200" s="92"/>
      <c r="Q200" s="92"/>
      <c r="R200" s="92"/>
      <c r="T200" s="92"/>
      <c r="U200" s="92"/>
      <c r="V200" s="92"/>
      <c r="W200" s="92"/>
      <c r="X200" s="92"/>
      <c r="Y200" s="92"/>
      <c r="Z200" s="92"/>
      <c r="AA200" s="92"/>
      <c r="AB200" s="92"/>
      <c r="AC200" s="92"/>
      <c r="AD200" s="92"/>
      <c r="AE200" s="92"/>
    </row>
    <row r="201" spans="1:31" s="26" customFormat="1">
      <c r="A201" s="145"/>
      <c r="B201" s="133"/>
      <c r="C201" s="92"/>
      <c r="D201" s="92"/>
      <c r="E201" s="92"/>
      <c r="F201" s="92"/>
      <c r="G201" s="92"/>
      <c r="H201" s="92"/>
      <c r="I201" s="92"/>
      <c r="J201" s="92"/>
      <c r="K201" s="92"/>
      <c r="L201" s="92"/>
      <c r="M201" s="92"/>
      <c r="N201" s="92"/>
      <c r="O201" s="92"/>
      <c r="P201" s="92"/>
      <c r="Q201" s="92"/>
      <c r="R201" s="92"/>
      <c r="T201" s="92"/>
      <c r="U201" s="92"/>
      <c r="V201" s="92"/>
      <c r="W201" s="92"/>
      <c r="X201" s="92"/>
      <c r="Y201" s="92"/>
      <c r="Z201" s="92"/>
      <c r="AA201" s="92"/>
      <c r="AB201" s="92"/>
      <c r="AC201" s="92"/>
      <c r="AD201" s="92"/>
      <c r="AE201" s="92"/>
    </row>
    <row r="202" spans="1:31" s="26" customFormat="1">
      <c r="A202" s="145"/>
      <c r="B202" s="133"/>
      <c r="C202" s="92"/>
      <c r="D202" s="92"/>
      <c r="E202" s="92"/>
      <c r="F202" s="92"/>
      <c r="G202" s="92"/>
      <c r="H202" s="92"/>
      <c r="I202" s="92"/>
      <c r="J202" s="92"/>
      <c r="K202" s="92"/>
      <c r="L202" s="92"/>
      <c r="M202" s="92"/>
      <c r="N202" s="92"/>
      <c r="O202" s="92"/>
      <c r="P202" s="92"/>
      <c r="Q202" s="92"/>
      <c r="R202" s="92"/>
      <c r="T202" s="92"/>
      <c r="U202" s="92"/>
      <c r="V202" s="92"/>
      <c r="W202" s="92"/>
      <c r="X202" s="92"/>
      <c r="Y202" s="92"/>
      <c r="Z202" s="92"/>
      <c r="AA202" s="92"/>
      <c r="AB202" s="92"/>
      <c r="AC202" s="92"/>
      <c r="AD202" s="92"/>
      <c r="AE202" s="92"/>
    </row>
    <row r="203" spans="1:31" s="26" customFormat="1">
      <c r="A203" s="145"/>
      <c r="B203" s="133"/>
      <c r="C203" s="92"/>
      <c r="D203" s="92"/>
      <c r="E203" s="92"/>
      <c r="F203" s="92"/>
      <c r="G203" s="92"/>
      <c r="H203" s="92"/>
      <c r="I203" s="92"/>
      <c r="J203" s="92"/>
      <c r="K203" s="92"/>
      <c r="L203" s="92"/>
      <c r="M203" s="92"/>
      <c r="N203" s="92"/>
      <c r="O203" s="92"/>
      <c r="P203" s="92"/>
      <c r="Q203" s="92"/>
      <c r="R203" s="92"/>
      <c r="T203" s="92"/>
      <c r="U203" s="92"/>
      <c r="V203" s="92"/>
      <c r="W203" s="92"/>
      <c r="X203" s="92"/>
      <c r="Y203" s="92"/>
      <c r="Z203" s="92"/>
      <c r="AA203" s="92"/>
      <c r="AB203" s="92"/>
      <c r="AC203" s="92"/>
      <c r="AD203" s="92"/>
      <c r="AE203" s="92"/>
    </row>
    <row r="204" spans="1:31" s="26" customFormat="1">
      <c r="A204" s="145"/>
      <c r="B204" s="133"/>
      <c r="C204" s="92"/>
      <c r="D204" s="92"/>
      <c r="E204" s="92"/>
      <c r="F204" s="92"/>
      <c r="G204" s="92"/>
      <c r="H204" s="92"/>
      <c r="I204" s="92"/>
      <c r="J204" s="92"/>
      <c r="K204" s="92"/>
      <c r="L204" s="92"/>
      <c r="M204" s="92"/>
      <c r="N204" s="92"/>
      <c r="O204" s="92"/>
      <c r="P204" s="92"/>
      <c r="Q204" s="92"/>
      <c r="R204" s="92"/>
      <c r="T204" s="92"/>
      <c r="U204" s="92"/>
      <c r="V204" s="92"/>
      <c r="W204" s="92"/>
      <c r="X204" s="92"/>
      <c r="Y204" s="92"/>
      <c r="Z204" s="92"/>
      <c r="AA204" s="92"/>
      <c r="AB204" s="92"/>
      <c r="AC204" s="92"/>
      <c r="AD204" s="92"/>
      <c r="AE204" s="92"/>
    </row>
    <row r="205" spans="1:31" s="26" customFormat="1">
      <c r="A205" s="145"/>
      <c r="B205" s="133"/>
      <c r="C205" s="92"/>
      <c r="D205" s="92"/>
      <c r="E205" s="92"/>
      <c r="F205" s="92"/>
      <c r="G205" s="92"/>
      <c r="H205" s="92"/>
      <c r="I205" s="92"/>
      <c r="J205" s="92"/>
      <c r="K205" s="92"/>
      <c r="L205" s="92"/>
      <c r="M205" s="92"/>
      <c r="N205" s="92"/>
      <c r="O205" s="92"/>
      <c r="P205" s="92"/>
      <c r="Q205" s="92"/>
      <c r="R205" s="92"/>
      <c r="T205" s="92"/>
      <c r="U205" s="92"/>
      <c r="V205" s="92"/>
      <c r="W205" s="92"/>
      <c r="X205" s="92"/>
      <c r="Y205" s="92"/>
      <c r="Z205" s="92"/>
      <c r="AA205" s="92"/>
      <c r="AB205" s="92"/>
      <c r="AC205" s="92"/>
      <c r="AD205" s="92"/>
      <c r="AE205" s="92"/>
    </row>
    <row r="206" spans="1:31" s="26" customFormat="1">
      <c r="A206" s="145"/>
      <c r="B206" s="133"/>
      <c r="C206" s="92"/>
      <c r="D206" s="92"/>
      <c r="E206" s="92"/>
      <c r="F206" s="92"/>
      <c r="G206" s="92"/>
      <c r="H206" s="92"/>
      <c r="I206" s="92"/>
      <c r="J206" s="92"/>
      <c r="K206" s="92"/>
      <c r="L206" s="92"/>
      <c r="M206" s="92"/>
      <c r="N206" s="92"/>
      <c r="O206" s="92"/>
      <c r="P206" s="92"/>
      <c r="Q206" s="92"/>
      <c r="R206" s="92"/>
      <c r="T206" s="92"/>
      <c r="U206" s="92"/>
      <c r="V206" s="92"/>
      <c r="W206" s="92"/>
      <c r="X206" s="92"/>
      <c r="Y206" s="92"/>
      <c r="Z206" s="92"/>
      <c r="AA206" s="92"/>
      <c r="AB206" s="92"/>
      <c r="AC206" s="92"/>
      <c r="AD206" s="92"/>
      <c r="AE206" s="92"/>
    </row>
    <row r="207" spans="1:31" s="26" customFormat="1">
      <c r="A207" s="145"/>
      <c r="B207" s="133"/>
      <c r="C207" s="92"/>
      <c r="D207" s="92"/>
      <c r="E207" s="92"/>
      <c r="F207" s="92"/>
      <c r="G207" s="92"/>
      <c r="H207" s="92"/>
      <c r="I207" s="92"/>
      <c r="J207" s="92"/>
      <c r="K207" s="92"/>
      <c r="L207" s="92"/>
      <c r="M207" s="92"/>
      <c r="N207" s="92"/>
      <c r="O207" s="92"/>
      <c r="P207" s="92"/>
      <c r="Q207" s="92"/>
      <c r="R207" s="92"/>
      <c r="T207" s="92"/>
      <c r="U207" s="92"/>
      <c r="V207" s="92"/>
      <c r="W207" s="92"/>
      <c r="X207" s="92"/>
      <c r="Y207" s="92"/>
      <c r="Z207" s="92"/>
      <c r="AA207" s="92"/>
      <c r="AB207" s="92"/>
      <c r="AC207" s="92"/>
      <c r="AD207" s="92"/>
      <c r="AE207" s="92"/>
    </row>
    <row r="208" spans="1:31" s="26" customFormat="1">
      <c r="A208" s="145"/>
      <c r="B208" s="133"/>
      <c r="C208" s="92"/>
      <c r="D208" s="92"/>
      <c r="E208" s="92"/>
      <c r="F208" s="92"/>
      <c r="G208" s="92"/>
      <c r="H208" s="92"/>
      <c r="I208" s="92"/>
      <c r="J208" s="92"/>
      <c r="K208" s="92"/>
      <c r="L208" s="92"/>
      <c r="M208" s="92"/>
      <c r="N208" s="92"/>
      <c r="O208" s="92"/>
      <c r="P208" s="92"/>
      <c r="Q208" s="92"/>
      <c r="R208" s="92"/>
      <c r="T208" s="92"/>
      <c r="U208" s="92"/>
      <c r="V208" s="92"/>
      <c r="W208" s="92"/>
      <c r="X208" s="92"/>
      <c r="Y208" s="92"/>
      <c r="Z208" s="92"/>
      <c r="AA208" s="92"/>
      <c r="AB208" s="92"/>
      <c r="AC208" s="92"/>
      <c r="AD208" s="92"/>
      <c r="AE208" s="92"/>
    </row>
    <row r="209" spans="1:31" s="26" customFormat="1">
      <c r="A209" s="145"/>
      <c r="B209" s="133"/>
      <c r="C209" s="92"/>
      <c r="D209" s="92"/>
      <c r="E209" s="92"/>
      <c r="F209" s="92"/>
      <c r="G209" s="92"/>
      <c r="H209" s="92"/>
      <c r="I209" s="92"/>
      <c r="J209" s="92"/>
      <c r="K209" s="92"/>
      <c r="L209" s="92"/>
      <c r="M209" s="92"/>
      <c r="N209" s="92"/>
      <c r="O209" s="92"/>
      <c r="P209" s="92"/>
      <c r="Q209" s="92"/>
      <c r="R209" s="92"/>
      <c r="T209" s="92"/>
      <c r="U209" s="92"/>
      <c r="V209" s="92"/>
      <c r="W209" s="92"/>
      <c r="X209" s="92"/>
      <c r="Y209" s="92"/>
      <c r="Z209" s="92"/>
      <c r="AA209" s="92"/>
      <c r="AB209" s="92"/>
      <c r="AC209" s="92"/>
      <c r="AD209" s="92"/>
      <c r="AE209" s="92"/>
    </row>
    <row r="210" spans="1:31" s="26" customFormat="1">
      <c r="A210" s="145"/>
      <c r="B210" s="133"/>
      <c r="C210" s="92"/>
      <c r="D210" s="92"/>
      <c r="E210" s="92"/>
      <c r="F210" s="92"/>
      <c r="G210" s="92"/>
      <c r="H210" s="92"/>
      <c r="I210" s="92"/>
      <c r="J210" s="92"/>
      <c r="K210" s="92"/>
      <c r="L210" s="92"/>
      <c r="M210" s="92"/>
      <c r="N210" s="92"/>
      <c r="O210" s="92"/>
      <c r="P210" s="92"/>
      <c r="Q210" s="92"/>
      <c r="R210" s="92"/>
      <c r="T210" s="92"/>
      <c r="U210" s="92"/>
      <c r="V210" s="92"/>
      <c r="W210" s="92"/>
      <c r="X210" s="92"/>
      <c r="Y210" s="92"/>
      <c r="Z210" s="92"/>
      <c r="AA210" s="92"/>
      <c r="AB210" s="92"/>
      <c r="AC210" s="92"/>
      <c r="AD210" s="92"/>
      <c r="AE210" s="92"/>
    </row>
    <row r="211" spans="1:31" s="26" customFormat="1">
      <c r="A211" s="145"/>
      <c r="B211" s="133"/>
      <c r="C211" s="92"/>
      <c r="D211" s="92"/>
      <c r="E211" s="92"/>
      <c r="F211" s="92"/>
      <c r="G211" s="92"/>
      <c r="H211" s="92"/>
      <c r="I211" s="92"/>
      <c r="J211" s="92"/>
      <c r="K211" s="92"/>
      <c r="L211" s="92"/>
      <c r="M211" s="92"/>
      <c r="N211" s="92"/>
      <c r="O211" s="92"/>
      <c r="P211" s="92"/>
      <c r="Q211" s="92"/>
      <c r="R211" s="92"/>
      <c r="T211" s="92"/>
      <c r="U211" s="92"/>
      <c r="V211" s="92"/>
      <c r="W211" s="92"/>
      <c r="X211" s="92"/>
      <c r="Y211" s="92"/>
      <c r="Z211" s="92"/>
      <c r="AA211" s="92"/>
      <c r="AB211" s="92"/>
      <c r="AC211" s="92"/>
      <c r="AD211" s="92"/>
      <c r="AE211" s="92"/>
    </row>
    <row r="212" spans="1:31" s="26" customFormat="1">
      <c r="A212" s="145"/>
      <c r="B212" s="133"/>
      <c r="C212" s="92"/>
      <c r="D212" s="92"/>
      <c r="E212" s="92"/>
      <c r="F212" s="92"/>
      <c r="G212" s="92"/>
      <c r="H212" s="92"/>
      <c r="I212" s="92"/>
      <c r="J212" s="92"/>
      <c r="K212" s="92"/>
      <c r="L212" s="92"/>
      <c r="M212" s="92"/>
      <c r="N212" s="92"/>
      <c r="O212" s="92"/>
      <c r="P212" s="92"/>
      <c r="Q212" s="92"/>
      <c r="R212" s="92"/>
      <c r="T212" s="92"/>
      <c r="U212" s="92"/>
      <c r="V212" s="92"/>
      <c r="W212" s="92"/>
      <c r="X212" s="92"/>
      <c r="Y212" s="92"/>
      <c r="Z212" s="92"/>
      <c r="AA212" s="92"/>
      <c r="AB212" s="92"/>
      <c r="AC212" s="92"/>
      <c r="AD212" s="92"/>
      <c r="AE212" s="92"/>
    </row>
    <row r="213" spans="1:31" s="26" customFormat="1">
      <c r="A213" s="145"/>
      <c r="B213" s="133"/>
      <c r="C213" s="92"/>
      <c r="D213" s="92"/>
      <c r="E213" s="92"/>
      <c r="F213" s="92"/>
      <c r="G213" s="92"/>
      <c r="H213" s="92"/>
      <c r="I213" s="92"/>
      <c r="J213" s="92"/>
      <c r="K213" s="92"/>
      <c r="L213" s="92"/>
      <c r="M213" s="92"/>
      <c r="N213" s="92"/>
      <c r="O213" s="92"/>
      <c r="P213" s="92"/>
      <c r="Q213" s="92"/>
      <c r="R213" s="92"/>
      <c r="T213" s="92"/>
      <c r="U213" s="92"/>
      <c r="V213" s="92"/>
      <c r="W213" s="92"/>
      <c r="X213" s="92"/>
      <c r="Y213" s="92"/>
      <c r="Z213" s="92"/>
      <c r="AA213" s="92"/>
      <c r="AB213" s="92"/>
      <c r="AC213" s="92"/>
      <c r="AD213" s="92"/>
      <c r="AE213" s="92"/>
    </row>
    <row r="214" spans="1:31" s="26" customFormat="1">
      <c r="A214" s="145"/>
      <c r="B214" s="133"/>
      <c r="C214" s="92"/>
      <c r="D214" s="92"/>
      <c r="E214" s="92"/>
      <c r="F214" s="92"/>
      <c r="G214" s="92"/>
      <c r="H214" s="92"/>
      <c r="I214" s="92"/>
      <c r="J214" s="92"/>
      <c r="K214" s="92"/>
      <c r="L214" s="92"/>
      <c r="M214" s="92"/>
      <c r="N214" s="92"/>
      <c r="O214" s="92"/>
      <c r="P214" s="92"/>
      <c r="Q214" s="92"/>
      <c r="R214" s="92"/>
      <c r="T214" s="92"/>
      <c r="U214" s="92"/>
      <c r="V214" s="92"/>
      <c r="W214" s="92"/>
      <c r="X214" s="92"/>
      <c r="Y214" s="92"/>
      <c r="Z214" s="92"/>
      <c r="AA214" s="92"/>
      <c r="AB214" s="92"/>
      <c r="AC214" s="92"/>
      <c r="AD214" s="92"/>
      <c r="AE214" s="92"/>
    </row>
    <row r="215" spans="1:31" s="26" customFormat="1">
      <c r="A215" s="145"/>
      <c r="B215" s="133"/>
      <c r="C215" s="92"/>
      <c r="D215" s="92"/>
      <c r="E215" s="92"/>
      <c r="F215" s="92"/>
      <c r="G215" s="92"/>
      <c r="H215" s="92"/>
      <c r="I215" s="92"/>
      <c r="J215" s="92"/>
      <c r="K215" s="92"/>
      <c r="L215" s="92"/>
      <c r="M215" s="92"/>
      <c r="N215" s="92"/>
      <c r="O215" s="92"/>
      <c r="P215" s="92"/>
      <c r="Q215" s="92"/>
      <c r="R215" s="92"/>
      <c r="T215" s="92"/>
      <c r="U215" s="92"/>
      <c r="V215" s="92"/>
      <c r="W215" s="92"/>
      <c r="X215" s="92"/>
      <c r="Y215" s="92"/>
      <c r="Z215" s="92"/>
      <c r="AA215" s="92"/>
      <c r="AB215" s="92"/>
      <c r="AC215" s="92"/>
      <c r="AD215" s="92"/>
      <c r="AE215" s="92"/>
    </row>
    <row r="216" spans="1:31" s="26" customFormat="1">
      <c r="A216" s="145"/>
      <c r="B216" s="133"/>
      <c r="C216" s="92"/>
      <c r="D216" s="92"/>
      <c r="E216" s="92"/>
      <c r="F216" s="92"/>
      <c r="G216" s="92"/>
      <c r="H216" s="92"/>
      <c r="I216" s="92"/>
      <c r="J216" s="92"/>
      <c r="K216" s="92"/>
      <c r="L216" s="92"/>
      <c r="M216" s="92"/>
      <c r="N216" s="92"/>
      <c r="O216" s="92"/>
      <c r="P216" s="92"/>
      <c r="Q216" s="92"/>
      <c r="R216" s="92"/>
      <c r="T216" s="92"/>
      <c r="U216" s="92"/>
      <c r="V216" s="92"/>
      <c r="W216" s="92"/>
      <c r="X216" s="92"/>
      <c r="Y216" s="92"/>
      <c r="Z216" s="92"/>
      <c r="AA216" s="92"/>
      <c r="AB216" s="92"/>
      <c r="AC216" s="92"/>
      <c r="AD216" s="92"/>
      <c r="AE216" s="92"/>
    </row>
    <row r="217" spans="1:31" s="26" customFormat="1">
      <c r="A217" s="145"/>
      <c r="B217" s="133"/>
      <c r="C217" s="92"/>
      <c r="D217" s="92"/>
      <c r="E217" s="92"/>
      <c r="F217" s="92"/>
      <c r="G217" s="92"/>
      <c r="H217" s="92"/>
      <c r="I217" s="92"/>
      <c r="J217" s="92"/>
      <c r="K217" s="92"/>
      <c r="L217" s="92"/>
      <c r="M217" s="92"/>
      <c r="N217" s="92"/>
      <c r="O217" s="92"/>
      <c r="P217" s="92"/>
      <c r="Q217" s="92"/>
      <c r="R217" s="92"/>
      <c r="T217" s="92"/>
      <c r="U217" s="92"/>
      <c r="V217" s="92"/>
      <c r="W217" s="92"/>
      <c r="X217" s="92"/>
      <c r="Y217" s="92"/>
      <c r="Z217" s="92"/>
      <c r="AA217" s="92"/>
      <c r="AB217" s="92"/>
      <c r="AC217" s="92"/>
      <c r="AD217" s="92"/>
      <c r="AE217" s="92"/>
    </row>
    <row r="218" spans="1:31" s="26" customFormat="1">
      <c r="A218" s="145"/>
      <c r="B218" s="133"/>
      <c r="C218" s="92"/>
      <c r="D218" s="92"/>
      <c r="E218" s="92"/>
      <c r="F218" s="92"/>
      <c r="G218" s="92"/>
      <c r="H218" s="92"/>
      <c r="I218" s="92"/>
      <c r="J218" s="92"/>
      <c r="K218" s="92"/>
      <c r="L218" s="92"/>
      <c r="M218" s="92"/>
      <c r="N218" s="92"/>
      <c r="O218" s="92"/>
      <c r="P218" s="92"/>
      <c r="Q218" s="92"/>
      <c r="R218" s="92"/>
      <c r="T218" s="92"/>
      <c r="U218" s="92"/>
      <c r="V218" s="92"/>
      <c r="W218" s="92"/>
      <c r="X218" s="92"/>
      <c r="Y218" s="92"/>
      <c r="Z218" s="92"/>
      <c r="AA218" s="92"/>
      <c r="AB218" s="92"/>
      <c r="AC218" s="92"/>
      <c r="AD218" s="92"/>
      <c r="AE218" s="92"/>
    </row>
    <row r="219" spans="1:31" s="26" customFormat="1">
      <c r="A219" s="145"/>
      <c r="B219" s="133"/>
      <c r="C219" s="92"/>
      <c r="D219" s="92"/>
      <c r="E219" s="92"/>
      <c r="F219" s="92"/>
      <c r="G219" s="92"/>
      <c r="H219" s="92"/>
      <c r="I219" s="92"/>
      <c r="J219" s="92"/>
      <c r="K219" s="92"/>
      <c r="L219" s="92"/>
      <c r="M219" s="92"/>
      <c r="N219" s="92"/>
      <c r="O219" s="92"/>
      <c r="P219" s="92"/>
      <c r="Q219" s="92"/>
      <c r="R219" s="92"/>
      <c r="T219" s="92"/>
      <c r="U219" s="92"/>
      <c r="V219" s="92"/>
      <c r="W219" s="92"/>
      <c r="X219" s="92"/>
      <c r="Y219" s="92"/>
      <c r="Z219" s="92"/>
      <c r="AA219" s="92"/>
      <c r="AB219" s="92"/>
      <c r="AC219" s="92"/>
      <c r="AD219" s="92"/>
      <c r="AE219" s="92"/>
    </row>
    <row r="220" spans="1:31" s="26" customFormat="1">
      <c r="A220" s="145"/>
      <c r="B220" s="133"/>
      <c r="C220" s="92"/>
      <c r="D220" s="92"/>
      <c r="E220" s="92"/>
      <c r="F220" s="92"/>
      <c r="G220" s="92"/>
      <c r="H220" s="92"/>
      <c r="I220" s="92"/>
      <c r="J220" s="92"/>
      <c r="K220" s="92"/>
      <c r="L220" s="92"/>
      <c r="M220" s="92"/>
      <c r="N220" s="92"/>
      <c r="O220" s="92"/>
      <c r="P220" s="92"/>
      <c r="Q220" s="92"/>
      <c r="R220" s="92"/>
      <c r="T220" s="92"/>
      <c r="U220" s="92"/>
      <c r="V220" s="92"/>
      <c r="W220" s="92"/>
      <c r="X220" s="92"/>
      <c r="Y220" s="92"/>
      <c r="Z220" s="92"/>
      <c r="AA220" s="92"/>
      <c r="AB220" s="92"/>
      <c r="AC220" s="92"/>
      <c r="AD220" s="92"/>
      <c r="AE220" s="92"/>
    </row>
    <row r="221" spans="1:31" s="26" customFormat="1">
      <c r="A221" s="145"/>
      <c r="B221" s="133"/>
      <c r="C221" s="92"/>
      <c r="D221" s="92"/>
      <c r="E221" s="92"/>
      <c r="F221" s="92"/>
      <c r="G221" s="92"/>
      <c r="H221" s="92"/>
      <c r="I221" s="92"/>
      <c r="J221" s="92"/>
      <c r="K221" s="92"/>
      <c r="L221" s="92"/>
      <c r="M221" s="92"/>
      <c r="N221" s="92"/>
      <c r="O221" s="92"/>
      <c r="P221" s="92"/>
      <c r="Q221" s="92"/>
      <c r="R221" s="92"/>
      <c r="T221" s="92"/>
      <c r="U221" s="92"/>
      <c r="V221" s="92"/>
      <c r="W221" s="92"/>
      <c r="X221" s="92"/>
      <c r="Y221" s="92"/>
      <c r="Z221" s="92"/>
      <c r="AA221" s="92"/>
      <c r="AB221" s="92"/>
      <c r="AC221" s="92"/>
      <c r="AD221" s="92"/>
      <c r="AE221" s="92"/>
    </row>
    <row r="222" spans="1:31" s="26" customFormat="1">
      <c r="A222" s="145"/>
      <c r="B222" s="133"/>
      <c r="C222" s="92"/>
      <c r="D222" s="92"/>
      <c r="E222" s="92"/>
      <c r="F222" s="92"/>
      <c r="G222" s="92"/>
      <c r="H222" s="92"/>
      <c r="I222" s="92"/>
      <c r="J222" s="92"/>
      <c r="K222" s="92"/>
      <c r="L222" s="92"/>
      <c r="M222" s="92"/>
      <c r="N222" s="92"/>
      <c r="O222" s="92"/>
      <c r="P222" s="92"/>
      <c r="Q222" s="92"/>
      <c r="R222" s="92"/>
      <c r="T222" s="92"/>
      <c r="U222" s="92"/>
      <c r="V222" s="92"/>
      <c r="W222" s="92"/>
      <c r="X222" s="92"/>
      <c r="Y222" s="92"/>
      <c r="Z222" s="92"/>
      <c r="AA222" s="92"/>
      <c r="AB222" s="92"/>
      <c r="AC222" s="92"/>
      <c r="AD222" s="92"/>
      <c r="AE222" s="92"/>
    </row>
    <row r="223" spans="1:31" s="26" customFormat="1">
      <c r="A223" s="145"/>
      <c r="B223" s="133"/>
      <c r="C223" s="92"/>
      <c r="D223" s="92"/>
      <c r="E223" s="92"/>
      <c r="F223" s="92"/>
      <c r="G223" s="92"/>
      <c r="H223" s="92"/>
      <c r="I223" s="92"/>
      <c r="J223" s="92"/>
      <c r="K223" s="92"/>
      <c r="L223" s="92"/>
      <c r="M223" s="92"/>
      <c r="N223" s="92"/>
      <c r="O223" s="92"/>
      <c r="P223" s="92"/>
      <c r="Q223" s="92"/>
      <c r="R223" s="92"/>
      <c r="T223" s="92"/>
      <c r="U223" s="92"/>
      <c r="V223" s="92"/>
      <c r="W223" s="92"/>
      <c r="X223" s="92"/>
      <c r="Y223" s="92"/>
      <c r="Z223" s="92"/>
      <c r="AA223" s="92"/>
      <c r="AB223" s="92"/>
      <c r="AC223" s="92"/>
      <c r="AD223" s="92"/>
      <c r="AE223" s="92"/>
    </row>
    <row r="224" spans="1:31" s="26" customFormat="1">
      <c r="A224" s="145"/>
      <c r="B224" s="133"/>
      <c r="C224" s="92"/>
      <c r="D224" s="92"/>
      <c r="E224" s="92"/>
      <c r="F224" s="92"/>
      <c r="G224" s="92"/>
      <c r="H224" s="92"/>
      <c r="I224" s="92"/>
      <c r="J224" s="92"/>
      <c r="K224" s="92"/>
      <c r="L224" s="92"/>
      <c r="M224" s="92"/>
      <c r="N224" s="92"/>
      <c r="O224" s="92"/>
      <c r="P224" s="92"/>
      <c r="Q224" s="92"/>
      <c r="R224" s="92"/>
      <c r="T224" s="92"/>
      <c r="U224" s="92"/>
      <c r="V224" s="92"/>
      <c r="W224" s="92"/>
      <c r="X224" s="92"/>
      <c r="Y224" s="92"/>
      <c r="Z224" s="92"/>
      <c r="AA224" s="92"/>
      <c r="AB224" s="92"/>
      <c r="AC224" s="92"/>
      <c r="AD224" s="92"/>
      <c r="AE224" s="92"/>
    </row>
    <row r="225" spans="1:31" s="26" customFormat="1">
      <c r="A225" s="145"/>
      <c r="B225" s="133"/>
      <c r="C225" s="92"/>
      <c r="D225" s="92"/>
      <c r="E225" s="92"/>
      <c r="F225" s="92"/>
      <c r="G225" s="92"/>
      <c r="H225" s="92"/>
      <c r="I225" s="92"/>
      <c r="J225" s="92"/>
      <c r="K225" s="92"/>
      <c r="L225" s="92"/>
      <c r="M225" s="92"/>
      <c r="N225" s="92"/>
      <c r="O225" s="92"/>
      <c r="P225" s="92"/>
      <c r="Q225" s="92"/>
      <c r="R225" s="92"/>
      <c r="T225" s="92"/>
      <c r="U225" s="92"/>
      <c r="V225" s="92"/>
      <c r="W225" s="92"/>
      <c r="X225" s="92"/>
      <c r="Y225" s="92"/>
      <c r="Z225" s="92"/>
      <c r="AA225" s="92"/>
      <c r="AB225" s="92"/>
      <c r="AC225" s="92"/>
      <c r="AD225" s="92"/>
      <c r="AE225" s="92"/>
    </row>
    <row r="226" spans="1:31" s="26" customFormat="1">
      <c r="A226" s="145"/>
      <c r="B226" s="133"/>
      <c r="C226" s="92"/>
      <c r="D226" s="92"/>
      <c r="E226" s="92"/>
      <c r="F226" s="92"/>
      <c r="G226" s="92"/>
      <c r="H226" s="92"/>
      <c r="I226" s="92"/>
      <c r="J226" s="92"/>
      <c r="K226" s="92"/>
      <c r="L226" s="92"/>
      <c r="M226" s="92"/>
      <c r="N226" s="92"/>
      <c r="O226" s="92"/>
      <c r="P226" s="92"/>
      <c r="Q226" s="92"/>
      <c r="R226" s="92"/>
      <c r="T226" s="92"/>
      <c r="U226" s="92"/>
      <c r="V226" s="92"/>
      <c r="W226" s="92"/>
      <c r="X226" s="92"/>
      <c r="Y226" s="92"/>
      <c r="Z226" s="92"/>
      <c r="AA226" s="92"/>
      <c r="AB226" s="92"/>
      <c r="AC226" s="92"/>
      <c r="AD226" s="92"/>
      <c r="AE226" s="92"/>
    </row>
    <row r="227" spans="1:31" s="26" customFormat="1">
      <c r="A227" s="145"/>
      <c r="B227" s="133"/>
      <c r="C227" s="92"/>
      <c r="D227" s="92"/>
      <c r="E227" s="92"/>
      <c r="F227" s="92"/>
      <c r="G227" s="92"/>
      <c r="H227" s="92"/>
      <c r="I227" s="92"/>
      <c r="J227" s="92"/>
      <c r="K227" s="92"/>
      <c r="L227" s="92"/>
      <c r="M227" s="92"/>
      <c r="N227" s="92"/>
      <c r="O227" s="92"/>
      <c r="P227" s="92"/>
      <c r="Q227" s="92"/>
      <c r="R227" s="92"/>
      <c r="T227" s="92"/>
      <c r="U227" s="92"/>
      <c r="V227" s="92"/>
      <c r="W227" s="92"/>
      <c r="X227" s="92"/>
      <c r="Y227" s="92"/>
      <c r="Z227" s="92"/>
      <c r="AA227" s="92"/>
      <c r="AB227" s="92"/>
      <c r="AC227" s="92"/>
      <c r="AD227" s="92"/>
      <c r="AE227" s="92"/>
    </row>
    <row r="228" spans="1:31" s="26" customFormat="1">
      <c r="A228" s="145"/>
      <c r="B228" s="133"/>
      <c r="C228" s="92"/>
      <c r="D228" s="92"/>
      <c r="E228" s="92"/>
      <c r="F228" s="92"/>
      <c r="G228" s="92"/>
      <c r="H228" s="92"/>
      <c r="I228" s="92"/>
      <c r="J228" s="92"/>
      <c r="K228" s="92"/>
      <c r="L228" s="92"/>
      <c r="M228" s="92"/>
      <c r="N228" s="92"/>
      <c r="O228" s="92"/>
      <c r="P228" s="92"/>
      <c r="Q228" s="92"/>
      <c r="R228" s="92"/>
      <c r="T228" s="92"/>
      <c r="U228" s="92"/>
      <c r="V228" s="92"/>
      <c r="W228" s="92"/>
      <c r="X228" s="92"/>
      <c r="Y228" s="92"/>
      <c r="Z228" s="92"/>
      <c r="AA228" s="92"/>
      <c r="AB228" s="92"/>
      <c r="AC228" s="92"/>
      <c r="AD228" s="92"/>
      <c r="AE228" s="92"/>
    </row>
    <row r="229" spans="1:31" s="26" customFormat="1">
      <c r="A229" s="145"/>
      <c r="B229" s="133"/>
      <c r="C229" s="92"/>
      <c r="D229" s="92"/>
      <c r="E229" s="92"/>
      <c r="F229" s="92"/>
      <c r="G229" s="92"/>
      <c r="H229" s="92"/>
      <c r="I229" s="92"/>
      <c r="J229" s="92"/>
      <c r="K229" s="92"/>
      <c r="L229" s="92"/>
      <c r="M229" s="92"/>
      <c r="N229" s="92"/>
      <c r="O229" s="92"/>
      <c r="P229" s="92"/>
      <c r="Q229" s="92"/>
      <c r="R229" s="92"/>
      <c r="T229" s="92"/>
      <c r="U229" s="92"/>
      <c r="V229" s="92"/>
      <c r="W229" s="92"/>
      <c r="X229" s="92"/>
      <c r="Y229" s="92"/>
      <c r="Z229" s="92"/>
      <c r="AA229" s="92"/>
      <c r="AB229" s="92"/>
      <c r="AC229" s="92"/>
      <c r="AD229" s="92"/>
      <c r="AE229" s="92"/>
    </row>
    <row r="230" spans="1:31" s="26" customFormat="1">
      <c r="A230" s="145"/>
      <c r="B230" s="133"/>
      <c r="C230" s="92"/>
      <c r="D230" s="92"/>
      <c r="E230" s="92"/>
      <c r="F230" s="92"/>
      <c r="G230" s="92"/>
      <c r="H230" s="92"/>
      <c r="I230" s="92"/>
      <c r="J230" s="92"/>
      <c r="K230" s="92"/>
      <c r="L230" s="92"/>
      <c r="M230" s="92"/>
      <c r="N230" s="92"/>
      <c r="O230" s="92"/>
      <c r="P230" s="92"/>
      <c r="Q230" s="92"/>
      <c r="R230" s="92"/>
      <c r="T230" s="92"/>
      <c r="U230" s="92"/>
      <c r="V230" s="92"/>
      <c r="W230" s="92"/>
      <c r="X230" s="92"/>
      <c r="Y230" s="92"/>
      <c r="Z230" s="92"/>
      <c r="AA230" s="92"/>
      <c r="AB230" s="92"/>
      <c r="AC230" s="92"/>
      <c r="AD230" s="92"/>
      <c r="AE230" s="92"/>
    </row>
    <row r="231" spans="1:31" s="26" customFormat="1">
      <c r="A231" s="145"/>
      <c r="B231" s="133"/>
      <c r="C231" s="92"/>
      <c r="D231" s="92"/>
      <c r="E231" s="92"/>
      <c r="F231" s="92"/>
      <c r="G231" s="92"/>
      <c r="H231" s="92"/>
      <c r="I231" s="92"/>
      <c r="J231" s="92"/>
      <c r="K231" s="92"/>
      <c r="L231" s="92"/>
      <c r="M231" s="92"/>
      <c r="N231" s="92"/>
      <c r="O231" s="92"/>
      <c r="P231" s="92"/>
      <c r="Q231" s="92"/>
      <c r="R231" s="92"/>
      <c r="T231" s="92"/>
      <c r="U231" s="92"/>
      <c r="V231" s="92"/>
      <c r="W231" s="92"/>
      <c r="X231" s="92"/>
      <c r="Y231" s="92"/>
      <c r="Z231" s="92"/>
      <c r="AA231" s="92"/>
      <c r="AB231" s="92"/>
      <c r="AC231" s="92"/>
      <c r="AD231" s="92"/>
      <c r="AE231" s="92"/>
    </row>
    <row r="232" spans="1:31" s="26" customFormat="1">
      <c r="A232" s="145"/>
      <c r="B232" s="133"/>
      <c r="C232" s="92"/>
      <c r="D232" s="92"/>
      <c r="E232" s="92"/>
      <c r="F232" s="92"/>
      <c r="G232" s="92"/>
      <c r="H232" s="92"/>
      <c r="I232" s="92"/>
      <c r="J232" s="92"/>
      <c r="K232" s="92"/>
      <c r="L232" s="92"/>
      <c r="M232" s="92"/>
      <c r="N232" s="92"/>
      <c r="O232" s="92"/>
      <c r="P232" s="92"/>
      <c r="Q232" s="92"/>
      <c r="R232" s="92"/>
      <c r="T232" s="92"/>
      <c r="U232" s="92"/>
      <c r="V232" s="92"/>
      <c r="W232" s="92"/>
      <c r="X232" s="92"/>
      <c r="Y232" s="92"/>
      <c r="Z232" s="92"/>
      <c r="AA232" s="92"/>
      <c r="AB232" s="92"/>
      <c r="AC232" s="92"/>
      <c r="AD232" s="92"/>
      <c r="AE232" s="92"/>
    </row>
    <row r="233" spans="1:31" s="26" customFormat="1">
      <c r="A233" s="145"/>
      <c r="B233" s="133"/>
      <c r="C233" s="92"/>
      <c r="D233" s="92"/>
      <c r="E233" s="92"/>
      <c r="F233" s="92"/>
      <c r="G233" s="92"/>
      <c r="H233" s="92"/>
      <c r="I233" s="92"/>
      <c r="J233" s="92"/>
      <c r="K233" s="92"/>
      <c r="L233" s="92"/>
      <c r="M233" s="92"/>
      <c r="N233" s="92"/>
      <c r="O233" s="92"/>
      <c r="P233" s="92"/>
      <c r="Q233" s="92"/>
      <c r="R233" s="92"/>
      <c r="T233" s="92"/>
      <c r="U233" s="92"/>
      <c r="V233" s="92"/>
      <c r="W233" s="92"/>
      <c r="X233" s="92"/>
      <c r="Y233" s="92"/>
      <c r="Z233" s="92"/>
      <c r="AA233" s="92"/>
      <c r="AB233" s="92"/>
      <c r="AC233" s="92"/>
      <c r="AD233" s="92"/>
      <c r="AE233" s="92"/>
    </row>
    <row r="234" spans="1:31" s="26" customFormat="1">
      <c r="A234" s="145"/>
      <c r="B234" s="133"/>
      <c r="C234" s="92"/>
      <c r="D234" s="92"/>
      <c r="E234" s="92"/>
      <c r="F234" s="92"/>
      <c r="G234" s="92"/>
      <c r="H234" s="92"/>
      <c r="I234" s="92"/>
      <c r="J234" s="92"/>
      <c r="K234" s="92"/>
      <c r="L234" s="92"/>
      <c r="M234" s="92"/>
      <c r="N234" s="92"/>
      <c r="O234" s="92"/>
      <c r="P234" s="92"/>
      <c r="Q234" s="92"/>
      <c r="R234" s="92"/>
      <c r="T234" s="92"/>
      <c r="U234" s="92"/>
      <c r="V234" s="92"/>
      <c r="W234" s="92"/>
      <c r="X234" s="92"/>
      <c r="Y234" s="92"/>
      <c r="Z234" s="92"/>
      <c r="AA234" s="92"/>
      <c r="AB234" s="92"/>
      <c r="AC234" s="92"/>
      <c r="AD234" s="92"/>
      <c r="AE234" s="92"/>
    </row>
    <row r="235" spans="1:31" s="26" customFormat="1">
      <c r="A235" s="145"/>
      <c r="B235" s="133"/>
      <c r="C235" s="92"/>
      <c r="D235" s="92"/>
      <c r="E235" s="92"/>
      <c r="F235" s="92"/>
      <c r="G235" s="92"/>
      <c r="H235" s="92"/>
      <c r="I235" s="92"/>
      <c r="J235" s="92"/>
      <c r="K235" s="92"/>
      <c r="L235" s="92"/>
      <c r="M235" s="92"/>
      <c r="N235" s="92"/>
      <c r="O235" s="92"/>
      <c r="P235" s="92"/>
      <c r="Q235" s="92"/>
      <c r="R235" s="92"/>
      <c r="T235" s="92"/>
      <c r="U235" s="92"/>
      <c r="V235" s="92"/>
      <c r="W235" s="92"/>
      <c r="X235" s="92"/>
      <c r="Y235" s="92"/>
      <c r="Z235" s="92"/>
      <c r="AA235" s="92"/>
      <c r="AB235" s="92"/>
      <c r="AC235" s="92"/>
      <c r="AD235" s="92"/>
      <c r="AE235" s="92"/>
    </row>
    <row r="236" spans="1:31" s="26" customFormat="1">
      <c r="A236" s="145"/>
      <c r="B236" s="133"/>
      <c r="C236" s="92"/>
      <c r="D236" s="92"/>
      <c r="E236" s="92"/>
      <c r="F236" s="92"/>
      <c r="G236" s="92"/>
      <c r="H236" s="92"/>
      <c r="I236" s="92"/>
      <c r="J236" s="92"/>
      <c r="K236" s="92"/>
      <c r="L236" s="92"/>
      <c r="M236" s="92"/>
      <c r="N236" s="92"/>
      <c r="O236" s="92"/>
      <c r="P236" s="92"/>
      <c r="Q236" s="92"/>
      <c r="R236" s="92"/>
      <c r="T236" s="92"/>
      <c r="U236" s="92"/>
      <c r="V236" s="92"/>
      <c r="W236" s="92"/>
      <c r="X236" s="92"/>
      <c r="Y236" s="92"/>
      <c r="Z236" s="92"/>
      <c r="AA236" s="92"/>
      <c r="AB236" s="92"/>
      <c r="AC236" s="92"/>
      <c r="AD236" s="92"/>
      <c r="AE236" s="92"/>
    </row>
    <row r="237" spans="1:31" s="26" customFormat="1">
      <c r="A237" s="145"/>
      <c r="B237" s="133"/>
      <c r="C237" s="92"/>
      <c r="D237" s="92"/>
      <c r="E237" s="92"/>
      <c r="F237" s="92"/>
      <c r="G237" s="92"/>
      <c r="H237" s="92"/>
      <c r="I237" s="92"/>
      <c r="J237" s="92"/>
      <c r="K237" s="92"/>
      <c r="L237" s="92"/>
      <c r="M237" s="92"/>
      <c r="N237" s="92"/>
      <c r="O237" s="92"/>
      <c r="P237" s="92"/>
      <c r="Q237" s="92"/>
      <c r="R237" s="92"/>
      <c r="T237" s="92"/>
      <c r="U237" s="92"/>
      <c r="V237" s="92"/>
      <c r="W237" s="92"/>
      <c r="X237" s="92"/>
      <c r="Y237" s="92"/>
      <c r="Z237" s="92"/>
      <c r="AA237" s="92"/>
      <c r="AB237" s="92"/>
      <c r="AC237" s="92"/>
      <c r="AD237" s="92"/>
      <c r="AE237" s="92"/>
    </row>
    <row r="238" spans="1:31" s="26" customFormat="1">
      <c r="A238" s="145"/>
      <c r="B238" s="133"/>
      <c r="C238" s="92"/>
      <c r="D238" s="92"/>
      <c r="E238" s="92"/>
      <c r="F238" s="92"/>
      <c r="G238" s="92"/>
      <c r="H238" s="92"/>
      <c r="I238" s="92"/>
      <c r="J238" s="92"/>
      <c r="K238" s="92"/>
      <c r="L238" s="92"/>
      <c r="M238" s="92"/>
      <c r="N238" s="92"/>
      <c r="O238" s="92"/>
      <c r="P238" s="92"/>
      <c r="Q238" s="92"/>
      <c r="R238" s="92"/>
      <c r="T238" s="92"/>
      <c r="U238" s="92"/>
      <c r="V238" s="92"/>
      <c r="W238" s="92"/>
      <c r="X238" s="92"/>
      <c r="Y238" s="92"/>
      <c r="Z238" s="92"/>
      <c r="AA238" s="92"/>
      <c r="AB238" s="92"/>
      <c r="AC238" s="92"/>
      <c r="AD238" s="92"/>
      <c r="AE238" s="92"/>
    </row>
    <row r="239" spans="1:31" s="26" customFormat="1">
      <c r="A239" s="145"/>
      <c r="B239" s="133"/>
      <c r="C239" s="92"/>
      <c r="D239" s="92"/>
      <c r="E239" s="92"/>
      <c r="F239" s="92"/>
      <c r="G239" s="92"/>
      <c r="H239" s="92"/>
      <c r="I239" s="92"/>
      <c r="J239" s="92"/>
      <c r="K239" s="92"/>
      <c r="L239" s="92"/>
      <c r="M239" s="92"/>
      <c r="N239" s="92"/>
      <c r="O239" s="92"/>
      <c r="P239" s="92"/>
      <c r="Q239" s="92"/>
      <c r="R239" s="92"/>
      <c r="T239" s="92"/>
      <c r="U239" s="92"/>
      <c r="V239" s="92"/>
      <c r="W239" s="92"/>
      <c r="X239" s="92"/>
      <c r="Y239" s="92"/>
      <c r="Z239" s="92"/>
      <c r="AA239" s="92"/>
      <c r="AB239" s="92"/>
      <c r="AC239" s="92"/>
      <c r="AD239" s="92"/>
      <c r="AE239" s="92"/>
    </row>
    <row r="240" spans="1:31" s="26" customFormat="1">
      <c r="A240" s="145"/>
      <c r="B240" s="133"/>
      <c r="C240" s="92"/>
      <c r="D240" s="92"/>
      <c r="E240" s="92"/>
      <c r="F240" s="92"/>
      <c r="G240" s="92"/>
      <c r="H240" s="92"/>
      <c r="I240" s="92"/>
      <c r="J240" s="92"/>
      <c r="K240" s="92"/>
      <c r="L240" s="92"/>
      <c r="M240" s="92"/>
      <c r="N240" s="92"/>
      <c r="O240" s="92"/>
      <c r="P240" s="92"/>
      <c r="Q240" s="92"/>
      <c r="R240" s="92"/>
      <c r="T240" s="92"/>
      <c r="U240" s="92"/>
      <c r="V240" s="92"/>
      <c r="W240" s="92"/>
      <c r="X240" s="92"/>
      <c r="Y240" s="92"/>
      <c r="Z240" s="92"/>
      <c r="AA240" s="92"/>
      <c r="AB240" s="92"/>
      <c r="AC240" s="92"/>
      <c r="AD240" s="92"/>
      <c r="AE240" s="92"/>
    </row>
    <row r="241" spans="1:31" s="26" customFormat="1">
      <c r="A241" s="145"/>
      <c r="B241" s="133"/>
      <c r="C241" s="92"/>
      <c r="D241" s="92"/>
      <c r="E241" s="92"/>
      <c r="F241" s="92"/>
      <c r="G241" s="92"/>
      <c r="H241" s="92"/>
      <c r="I241" s="92"/>
      <c r="J241" s="92"/>
      <c r="K241" s="92"/>
      <c r="L241" s="92"/>
      <c r="M241" s="92"/>
      <c r="N241" s="92"/>
      <c r="O241" s="92"/>
      <c r="P241" s="92"/>
      <c r="Q241" s="92"/>
      <c r="R241" s="92"/>
      <c r="T241" s="92"/>
      <c r="U241" s="92"/>
      <c r="V241" s="92"/>
      <c r="W241" s="92"/>
      <c r="X241" s="92"/>
      <c r="Y241" s="92"/>
      <c r="Z241" s="92"/>
      <c r="AA241" s="92"/>
      <c r="AB241" s="92"/>
      <c r="AC241" s="92"/>
      <c r="AD241" s="92"/>
      <c r="AE241" s="92"/>
    </row>
    <row r="242" spans="1:31" s="26" customFormat="1">
      <c r="A242" s="145"/>
      <c r="B242" s="133"/>
      <c r="C242" s="92"/>
      <c r="D242" s="92"/>
      <c r="E242" s="92"/>
      <c r="F242" s="92"/>
      <c r="G242" s="92"/>
      <c r="H242" s="92"/>
      <c r="I242" s="92"/>
      <c r="J242" s="92"/>
      <c r="K242" s="92"/>
      <c r="L242" s="92"/>
      <c r="M242" s="92"/>
      <c r="N242" s="92"/>
      <c r="O242" s="92"/>
      <c r="P242" s="92"/>
      <c r="Q242" s="92"/>
      <c r="R242" s="92"/>
      <c r="T242" s="92"/>
      <c r="U242" s="92"/>
      <c r="V242" s="92"/>
      <c r="W242" s="92"/>
      <c r="X242" s="92"/>
      <c r="Y242" s="92"/>
      <c r="Z242" s="92"/>
      <c r="AA242" s="92"/>
      <c r="AB242" s="92"/>
      <c r="AC242" s="92"/>
      <c r="AD242" s="92"/>
      <c r="AE242" s="92"/>
    </row>
    <row r="243" spans="1:31" s="26" customFormat="1">
      <c r="A243" s="145"/>
      <c r="B243" s="133"/>
      <c r="C243" s="92"/>
      <c r="D243" s="92"/>
      <c r="E243" s="92"/>
      <c r="F243" s="92"/>
      <c r="G243" s="92"/>
      <c r="H243" s="92"/>
      <c r="I243" s="92"/>
      <c r="J243" s="92"/>
      <c r="K243" s="92"/>
      <c r="L243" s="92"/>
      <c r="M243" s="92"/>
      <c r="N243" s="92"/>
      <c r="O243" s="92"/>
      <c r="P243" s="92"/>
      <c r="Q243" s="92"/>
      <c r="R243" s="92"/>
      <c r="T243" s="92"/>
      <c r="U243" s="92"/>
      <c r="V243" s="92"/>
      <c r="W243" s="92"/>
      <c r="X243" s="92"/>
      <c r="Y243" s="92"/>
      <c r="Z243" s="92"/>
      <c r="AA243" s="92"/>
      <c r="AB243" s="92"/>
      <c r="AC243" s="92"/>
      <c r="AD243" s="92"/>
      <c r="AE243" s="92"/>
    </row>
    <row r="244" spans="1:31" s="26" customFormat="1">
      <c r="A244" s="145"/>
      <c r="B244" s="133"/>
      <c r="C244" s="92"/>
      <c r="D244" s="92"/>
      <c r="E244" s="92"/>
      <c r="F244" s="92"/>
      <c r="G244" s="92"/>
      <c r="H244" s="92"/>
      <c r="I244" s="92"/>
      <c r="J244" s="92"/>
      <c r="K244" s="92"/>
      <c r="L244" s="92"/>
      <c r="M244" s="92"/>
      <c r="N244" s="92"/>
      <c r="O244" s="92"/>
      <c r="P244" s="92"/>
      <c r="Q244" s="92"/>
      <c r="R244" s="92"/>
      <c r="T244" s="92"/>
      <c r="U244" s="92"/>
      <c r="V244" s="92"/>
      <c r="W244" s="92"/>
      <c r="X244" s="92"/>
      <c r="Y244" s="92"/>
      <c r="Z244" s="92"/>
      <c r="AA244" s="92"/>
      <c r="AB244" s="92"/>
      <c r="AC244" s="92"/>
      <c r="AD244" s="92"/>
      <c r="AE244" s="92"/>
    </row>
    <row r="245" spans="1:31" s="26" customFormat="1">
      <c r="A245" s="145"/>
      <c r="B245" s="133"/>
      <c r="C245" s="92"/>
      <c r="D245" s="92"/>
      <c r="E245" s="92"/>
      <c r="F245" s="92"/>
      <c r="G245" s="92"/>
      <c r="H245" s="92"/>
      <c r="I245" s="92"/>
      <c r="J245" s="92"/>
      <c r="K245" s="92"/>
      <c r="L245" s="92"/>
      <c r="M245" s="92"/>
      <c r="N245" s="92"/>
      <c r="O245" s="92"/>
      <c r="P245" s="92"/>
      <c r="Q245" s="92"/>
      <c r="R245" s="92"/>
      <c r="T245" s="92"/>
      <c r="U245" s="92"/>
      <c r="V245" s="92"/>
      <c r="W245" s="92"/>
      <c r="X245" s="92"/>
      <c r="Y245" s="92"/>
      <c r="Z245" s="92"/>
      <c r="AA245" s="92"/>
      <c r="AB245" s="92"/>
      <c r="AC245" s="92"/>
      <c r="AD245" s="92"/>
      <c r="AE245" s="92"/>
    </row>
    <row r="246" spans="1:31" s="26" customFormat="1">
      <c r="A246" s="145"/>
      <c r="B246" s="133"/>
      <c r="C246" s="92"/>
      <c r="D246" s="92"/>
      <c r="E246" s="92"/>
      <c r="F246" s="92"/>
      <c r="G246" s="92"/>
      <c r="H246" s="92"/>
      <c r="I246" s="92"/>
      <c r="J246" s="92"/>
      <c r="K246" s="92"/>
      <c r="L246" s="92"/>
      <c r="M246" s="92"/>
      <c r="N246" s="92"/>
      <c r="O246" s="92"/>
      <c r="P246" s="92"/>
      <c r="Q246" s="92"/>
      <c r="R246" s="92"/>
      <c r="T246" s="92"/>
      <c r="U246" s="92"/>
      <c r="V246" s="92"/>
      <c r="W246" s="92"/>
      <c r="X246" s="92"/>
      <c r="Y246" s="92"/>
      <c r="Z246" s="92"/>
      <c r="AA246" s="92"/>
      <c r="AB246" s="92"/>
      <c r="AC246" s="92"/>
      <c r="AD246" s="92"/>
      <c r="AE246" s="92"/>
    </row>
    <row r="247" spans="1:31" s="26" customFormat="1">
      <c r="A247" s="145"/>
      <c r="B247" s="133"/>
      <c r="C247" s="92"/>
      <c r="D247" s="92"/>
      <c r="E247" s="92"/>
      <c r="F247" s="92"/>
      <c r="G247" s="92"/>
      <c r="H247" s="92"/>
      <c r="I247" s="92"/>
      <c r="J247" s="92"/>
      <c r="K247" s="92"/>
      <c r="L247" s="92"/>
      <c r="M247" s="92"/>
      <c r="N247" s="92"/>
      <c r="O247" s="92"/>
      <c r="P247" s="92"/>
      <c r="Q247" s="92"/>
      <c r="R247" s="92"/>
      <c r="T247" s="92"/>
      <c r="U247" s="92"/>
      <c r="V247" s="92"/>
      <c r="W247" s="92"/>
      <c r="X247" s="92"/>
      <c r="Y247" s="92"/>
      <c r="Z247" s="92"/>
      <c r="AA247" s="92"/>
      <c r="AB247" s="92"/>
      <c r="AC247" s="92"/>
      <c r="AD247" s="92"/>
      <c r="AE247" s="92"/>
    </row>
    <row r="248" spans="1:31" s="26" customFormat="1">
      <c r="A248" s="145"/>
      <c r="B248" s="133"/>
      <c r="C248" s="92"/>
      <c r="D248" s="92"/>
      <c r="E248" s="92"/>
      <c r="F248" s="92"/>
      <c r="G248" s="92"/>
      <c r="H248" s="92"/>
      <c r="I248" s="92"/>
      <c r="J248" s="92"/>
      <c r="K248" s="92"/>
      <c r="L248" s="92"/>
      <c r="M248" s="92"/>
      <c r="N248" s="92"/>
      <c r="O248" s="92"/>
      <c r="P248" s="92"/>
      <c r="Q248" s="92"/>
      <c r="R248" s="92"/>
      <c r="T248" s="92"/>
      <c r="U248" s="92"/>
      <c r="V248" s="92"/>
      <c r="W248" s="92"/>
      <c r="X248" s="92"/>
      <c r="Y248" s="92"/>
      <c r="Z248" s="92"/>
      <c r="AA248" s="92"/>
      <c r="AB248" s="92"/>
      <c r="AC248" s="92"/>
      <c r="AD248" s="92"/>
      <c r="AE248" s="92"/>
    </row>
    <row r="249" spans="1:31" s="26" customFormat="1">
      <c r="A249" s="145"/>
      <c r="B249" s="133"/>
      <c r="C249" s="92"/>
      <c r="D249" s="92"/>
      <c r="E249" s="92"/>
      <c r="F249" s="92"/>
      <c r="G249" s="92"/>
      <c r="H249" s="92"/>
      <c r="I249" s="92"/>
      <c r="J249" s="92"/>
      <c r="K249" s="92"/>
      <c r="L249" s="92"/>
      <c r="M249" s="92"/>
      <c r="N249" s="92"/>
      <c r="O249" s="92"/>
      <c r="P249" s="92"/>
      <c r="Q249" s="92"/>
      <c r="R249" s="92"/>
      <c r="T249" s="92"/>
      <c r="U249" s="92"/>
      <c r="V249" s="92"/>
      <c r="W249" s="92"/>
      <c r="X249" s="92"/>
      <c r="Y249" s="92"/>
      <c r="Z249" s="92"/>
      <c r="AA249" s="92"/>
      <c r="AB249" s="92"/>
      <c r="AC249" s="92"/>
      <c r="AD249" s="92"/>
      <c r="AE249" s="92"/>
    </row>
    <row r="250" spans="1:31" s="26" customFormat="1">
      <c r="A250" s="145"/>
      <c r="B250" s="133"/>
      <c r="C250" s="92"/>
      <c r="D250" s="92"/>
      <c r="E250" s="92"/>
      <c r="F250" s="92"/>
      <c r="G250" s="92"/>
      <c r="H250" s="92"/>
      <c r="I250" s="92"/>
      <c r="J250" s="92"/>
      <c r="K250" s="92"/>
      <c r="L250" s="92"/>
      <c r="M250" s="92"/>
      <c r="N250" s="92"/>
      <c r="O250" s="92"/>
      <c r="P250" s="92"/>
      <c r="Q250" s="92"/>
      <c r="R250" s="92"/>
      <c r="T250" s="92"/>
      <c r="U250" s="92"/>
      <c r="V250" s="92"/>
      <c r="W250" s="92"/>
      <c r="X250" s="92"/>
      <c r="Y250" s="92"/>
      <c r="Z250" s="92"/>
      <c r="AA250" s="92"/>
      <c r="AB250" s="92"/>
      <c r="AC250" s="92"/>
      <c r="AD250" s="92"/>
      <c r="AE250" s="92"/>
    </row>
    <row r="251" spans="1:31" s="26" customFormat="1">
      <c r="A251" s="145"/>
      <c r="B251" s="133"/>
      <c r="C251" s="92"/>
      <c r="D251" s="92"/>
      <c r="E251" s="92"/>
      <c r="F251" s="92"/>
      <c r="G251" s="92"/>
      <c r="H251" s="92"/>
      <c r="I251" s="92"/>
      <c r="J251" s="92"/>
      <c r="K251" s="92"/>
      <c r="L251" s="92"/>
      <c r="M251" s="92"/>
      <c r="N251" s="92"/>
      <c r="O251" s="92"/>
      <c r="P251" s="92"/>
      <c r="Q251" s="92"/>
      <c r="R251" s="92"/>
      <c r="T251" s="92"/>
      <c r="U251" s="92"/>
      <c r="V251" s="92"/>
      <c r="W251" s="92"/>
      <c r="X251" s="92"/>
      <c r="Y251" s="92"/>
      <c r="Z251" s="92"/>
      <c r="AA251" s="92"/>
      <c r="AB251" s="92"/>
      <c r="AC251" s="92"/>
      <c r="AD251" s="92"/>
      <c r="AE251" s="92"/>
    </row>
    <row r="252" spans="1:31" s="26" customFormat="1">
      <c r="A252" s="145"/>
      <c r="B252" s="133"/>
      <c r="C252" s="92"/>
      <c r="D252" s="92"/>
      <c r="E252" s="92"/>
      <c r="F252" s="92"/>
      <c r="G252" s="92"/>
      <c r="H252" s="92"/>
      <c r="I252" s="92"/>
      <c r="J252" s="92"/>
      <c r="K252" s="92"/>
      <c r="L252" s="92"/>
      <c r="M252" s="92"/>
      <c r="N252" s="92"/>
      <c r="O252" s="92"/>
      <c r="P252" s="92"/>
      <c r="Q252" s="92"/>
      <c r="R252" s="92"/>
      <c r="T252" s="92"/>
      <c r="U252" s="92"/>
      <c r="V252" s="92"/>
      <c r="W252" s="92"/>
      <c r="X252" s="92"/>
      <c r="Y252" s="92"/>
      <c r="Z252" s="92"/>
      <c r="AA252" s="92"/>
      <c r="AB252" s="92"/>
      <c r="AC252" s="92"/>
      <c r="AD252" s="92"/>
      <c r="AE252" s="92"/>
    </row>
    <row r="253" spans="1:31" s="26" customFormat="1">
      <c r="A253" s="145"/>
      <c r="B253" s="133"/>
      <c r="C253" s="92"/>
      <c r="D253" s="92"/>
      <c r="E253" s="92"/>
      <c r="F253" s="92"/>
      <c r="G253" s="92"/>
      <c r="H253" s="92"/>
      <c r="I253" s="92"/>
      <c r="J253" s="92"/>
      <c r="K253" s="92"/>
      <c r="L253" s="92"/>
      <c r="M253" s="92"/>
      <c r="N253" s="92"/>
      <c r="O253" s="92"/>
      <c r="P253" s="92"/>
      <c r="Q253" s="92"/>
      <c r="R253" s="92"/>
      <c r="T253" s="92"/>
      <c r="U253" s="92"/>
      <c r="V253" s="92"/>
      <c r="W253" s="92"/>
      <c r="X253" s="92"/>
      <c r="Y253" s="92"/>
      <c r="Z253" s="92"/>
      <c r="AA253" s="92"/>
      <c r="AB253" s="92"/>
      <c r="AC253" s="92"/>
      <c r="AD253" s="92"/>
      <c r="AE253" s="92"/>
    </row>
    <row r="254" spans="1:31" s="26" customFormat="1">
      <c r="A254" s="145"/>
      <c r="B254" s="133"/>
      <c r="C254" s="92"/>
      <c r="D254" s="92"/>
      <c r="E254" s="92"/>
      <c r="F254" s="92"/>
      <c r="G254" s="92"/>
      <c r="H254" s="92"/>
      <c r="I254" s="92"/>
      <c r="J254" s="92"/>
      <c r="K254" s="92"/>
      <c r="L254" s="92"/>
      <c r="M254" s="92"/>
      <c r="N254" s="92"/>
      <c r="O254" s="92"/>
      <c r="P254" s="92"/>
      <c r="Q254" s="92"/>
      <c r="R254" s="92"/>
      <c r="T254" s="92"/>
      <c r="U254" s="92"/>
      <c r="V254" s="92"/>
      <c r="W254" s="92"/>
      <c r="X254" s="92"/>
      <c r="Y254" s="92"/>
      <c r="Z254" s="92"/>
      <c r="AA254" s="92"/>
      <c r="AB254" s="92"/>
      <c r="AC254" s="92"/>
      <c r="AD254" s="92"/>
      <c r="AE254" s="92"/>
    </row>
    <row r="255" spans="1:31" s="26" customFormat="1">
      <c r="A255" s="145"/>
      <c r="B255" s="133"/>
      <c r="C255" s="92"/>
      <c r="D255" s="92"/>
      <c r="E255" s="92"/>
      <c r="F255" s="92"/>
      <c r="G255" s="92"/>
      <c r="H255" s="92"/>
      <c r="I255" s="92"/>
      <c r="J255" s="92"/>
      <c r="K255" s="92"/>
      <c r="L255" s="92"/>
      <c r="M255" s="92"/>
      <c r="N255" s="92"/>
      <c r="O255" s="92"/>
      <c r="P255" s="92"/>
      <c r="Q255" s="92"/>
      <c r="R255" s="92"/>
      <c r="T255" s="92"/>
      <c r="U255" s="92"/>
      <c r="V255" s="92"/>
      <c r="W255" s="92"/>
      <c r="X255" s="92"/>
      <c r="Y255" s="92"/>
      <c r="Z255" s="92"/>
      <c r="AA255" s="92"/>
      <c r="AB255" s="92"/>
      <c r="AC255" s="92"/>
      <c r="AD255" s="92"/>
      <c r="AE255" s="92"/>
    </row>
    <row r="256" spans="1:31" s="26" customFormat="1">
      <c r="A256" s="145"/>
      <c r="B256" s="133"/>
      <c r="C256" s="92"/>
      <c r="D256" s="92"/>
      <c r="E256" s="92"/>
      <c r="F256" s="92"/>
      <c r="G256" s="92"/>
      <c r="H256" s="92"/>
      <c r="I256" s="92"/>
      <c r="J256" s="92"/>
      <c r="K256" s="92"/>
      <c r="L256" s="92"/>
      <c r="M256" s="92"/>
      <c r="N256" s="92"/>
      <c r="O256" s="92"/>
      <c r="P256" s="92"/>
      <c r="Q256" s="92"/>
      <c r="R256" s="92"/>
      <c r="T256" s="92"/>
      <c r="U256" s="92"/>
      <c r="V256" s="92"/>
      <c r="W256" s="92"/>
      <c r="X256" s="92"/>
      <c r="Y256" s="92"/>
      <c r="Z256" s="92"/>
      <c r="AA256" s="92"/>
      <c r="AB256" s="92"/>
      <c r="AC256" s="92"/>
      <c r="AD256" s="92"/>
      <c r="AE256" s="92"/>
    </row>
    <row r="257" spans="1:31" s="26" customFormat="1">
      <c r="A257" s="145"/>
      <c r="B257" s="133"/>
      <c r="C257" s="92"/>
      <c r="D257" s="92"/>
      <c r="E257" s="92"/>
      <c r="F257" s="92"/>
      <c r="G257" s="92"/>
      <c r="H257" s="92"/>
      <c r="I257" s="92"/>
      <c r="J257" s="92"/>
      <c r="K257" s="92"/>
      <c r="L257" s="92"/>
      <c r="M257" s="92"/>
      <c r="N257" s="92"/>
      <c r="O257" s="92"/>
      <c r="P257" s="92"/>
      <c r="Q257" s="92"/>
      <c r="R257" s="92"/>
      <c r="T257" s="92"/>
      <c r="U257" s="92"/>
      <c r="V257" s="92"/>
      <c r="W257" s="92"/>
      <c r="X257" s="92"/>
      <c r="Y257" s="92"/>
      <c r="Z257" s="92"/>
      <c r="AA257" s="92"/>
      <c r="AB257" s="92"/>
      <c r="AC257" s="92"/>
      <c r="AD257" s="92"/>
      <c r="AE257" s="92"/>
    </row>
    <row r="258" spans="1:31" s="26" customFormat="1">
      <c r="A258" s="145"/>
      <c r="B258" s="133"/>
      <c r="C258" s="92"/>
      <c r="D258" s="92"/>
      <c r="E258" s="92"/>
      <c r="F258" s="92"/>
      <c r="G258" s="92"/>
      <c r="H258" s="92"/>
      <c r="I258" s="92"/>
      <c r="J258" s="92"/>
      <c r="K258" s="92"/>
      <c r="L258" s="92"/>
      <c r="M258" s="92"/>
      <c r="N258" s="92"/>
      <c r="O258" s="92"/>
      <c r="P258" s="92"/>
      <c r="Q258" s="92"/>
      <c r="R258" s="92"/>
      <c r="T258" s="92"/>
      <c r="U258" s="92"/>
      <c r="V258" s="92"/>
      <c r="W258" s="92"/>
      <c r="X258" s="92"/>
      <c r="Y258" s="92"/>
      <c r="Z258" s="92"/>
      <c r="AA258" s="92"/>
      <c r="AB258" s="92"/>
      <c r="AC258" s="92"/>
      <c r="AD258" s="92"/>
      <c r="AE258" s="92"/>
    </row>
    <row r="259" spans="1:31" s="26" customFormat="1">
      <c r="A259" s="145"/>
      <c r="B259" s="133"/>
      <c r="C259" s="92"/>
      <c r="D259" s="92"/>
      <c r="E259" s="92"/>
      <c r="F259" s="92"/>
      <c r="G259" s="92"/>
      <c r="H259" s="92"/>
      <c r="I259" s="92"/>
      <c r="J259" s="92"/>
      <c r="K259" s="92"/>
      <c r="L259" s="92"/>
      <c r="M259" s="92"/>
      <c r="N259" s="92"/>
      <c r="O259" s="92"/>
      <c r="P259" s="92"/>
      <c r="Q259" s="92"/>
      <c r="R259" s="92"/>
      <c r="T259" s="92"/>
      <c r="U259" s="92"/>
      <c r="V259" s="92"/>
      <c r="W259" s="92"/>
      <c r="X259" s="92"/>
      <c r="Y259" s="92"/>
      <c r="Z259" s="92"/>
      <c r="AA259" s="92"/>
      <c r="AB259" s="92"/>
      <c r="AC259" s="92"/>
      <c r="AD259" s="92"/>
      <c r="AE259" s="92"/>
    </row>
    <row r="260" spans="1:31" s="26" customFormat="1">
      <c r="A260" s="145"/>
      <c r="B260" s="133"/>
      <c r="C260" s="92"/>
      <c r="D260" s="92"/>
      <c r="E260" s="92"/>
      <c r="F260" s="92"/>
      <c r="G260" s="92"/>
      <c r="H260" s="92"/>
      <c r="I260" s="92"/>
      <c r="J260" s="92"/>
      <c r="K260" s="92"/>
      <c r="L260" s="92"/>
      <c r="M260" s="92"/>
      <c r="N260" s="92"/>
      <c r="O260" s="92"/>
      <c r="P260" s="92"/>
      <c r="Q260" s="92"/>
      <c r="R260" s="92"/>
      <c r="T260" s="92"/>
      <c r="U260" s="92"/>
      <c r="V260" s="92"/>
      <c r="W260" s="92"/>
      <c r="X260" s="92"/>
      <c r="Y260" s="92"/>
      <c r="Z260" s="92"/>
      <c r="AA260" s="92"/>
      <c r="AB260" s="92"/>
      <c r="AC260" s="92"/>
      <c r="AD260" s="92"/>
      <c r="AE260" s="92"/>
    </row>
    <row r="261" spans="1:31" s="26" customFormat="1">
      <c r="A261" s="145"/>
      <c r="B261" s="133"/>
      <c r="C261" s="92"/>
      <c r="D261" s="92"/>
      <c r="E261" s="92"/>
      <c r="F261" s="92"/>
      <c r="G261" s="92"/>
      <c r="H261" s="92"/>
      <c r="I261" s="92"/>
      <c r="J261" s="92"/>
      <c r="K261" s="92"/>
      <c r="L261" s="92"/>
      <c r="M261" s="92"/>
      <c r="N261" s="92"/>
      <c r="O261" s="92"/>
      <c r="P261" s="92"/>
      <c r="Q261" s="92"/>
      <c r="R261" s="92"/>
      <c r="T261" s="92"/>
      <c r="U261" s="92"/>
      <c r="V261" s="92"/>
      <c r="W261" s="92"/>
      <c r="X261" s="92"/>
      <c r="Y261" s="92"/>
      <c r="Z261" s="92"/>
      <c r="AA261" s="92"/>
      <c r="AB261" s="92"/>
      <c r="AC261" s="92"/>
      <c r="AD261" s="92"/>
      <c r="AE261" s="92"/>
    </row>
    <row r="262" spans="1:31" s="26" customFormat="1">
      <c r="A262" s="145"/>
      <c r="B262" s="133"/>
      <c r="C262" s="92"/>
      <c r="D262" s="92"/>
      <c r="E262" s="92"/>
      <c r="F262" s="92"/>
      <c r="G262" s="92"/>
      <c r="H262" s="92"/>
      <c r="I262" s="92"/>
      <c r="J262" s="92"/>
      <c r="K262" s="92"/>
      <c r="L262" s="92"/>
      <c r="M262" s="92"/>
      <c r="N262" s="92"/>
      <c r="O262" s="92"/>
      <c r="P262" s="92"/>
      <c r="Q262" s="92"/>
      <c r="R262" s="92"/>
      <c r="T262" s="92"/>
      <c r="U262" s="92"/>
      <c r="V262" s="92"/>
      <c r="W262" s="92"/>
      <c r="X262" s="92"/>
      <c r="Y262" s="92"/>
      <c r="Z262" s="92"/>
      <c r="AA262" s="92"/>
      <c r="AB262" s="92"/>
      <c r="AC262" s="92"/>
      <c r="AD262" s="92"/>
      <c r="AE262" s="92"/>
    </row>
    <row r="263" spans="1:31" s="26" customFormat="1">
      <c r="A263" s="145"/>
      <c r="B263" s="133"/>
      <c r="C263" s="92"/>
      <c r="D263" s="92"/>
      <c r="E263" s="92"/>
      <c r="F263" s="92"/>
      <c r="G263" s="92"/>
      <c r="H263" s="92"/>
      <c r="I263" s="92"/>
      <c r="J263" s="92"/>
      <c r="K263" s="92"/>
      <c r="L263" s="92"/>
      <c r="M263" s="92"/>
      <c r="N263" s="92"/>
      <c r="O263" s="92"/>
      <c r="P263" s="92"/>
      <c r="Q263" s="92"/>
      <c r="R263" s="92"/>
      <c r="T263" s="92"/>
      <c r="U263" s="92"/>
      <c r="V263" s="92"/>
      <c r="W263" s="92"/>
      <c r="X263" s="92"/>
      <c r="Y263" s="92"/>
      <c r="Z263" s="92"/>
      <c r="AA263" s="92"/>
      <c r="AB263" s="92"/>
      <c r="AC263" s="92"/>
      <c r="AD263" s="92"/>
      <c r="AE263" s="92"/>
    </row>
    <row r="264" spans="1:31" s="26" customFormat="1">
      <c r="A264" s="145"/>
      <c r="B264" s="133"/>
      <c r="C264" s="92"/>
      <c r="D264" s="92"/>
      <c r="E264" s="92"/>
      <c r="F264" s="92"/>
      <c r="G264" s="92"/>
      <c r="H264" s="92"/>
      <c r="I264" s="92"/>
      <c r="J264" s="92"/>
      <c r="K264" s="92"/>
      <c r="L264" s="92"/>
      <c r="M264" s="92"/>
      <c r="N264" s="92"/>
      <c r="O264" s="92"/>
      <c r="P264" s="92"/>
      <c r="Q264" s="92"/>
      <c r="R264" s="92"/>
      <c r="T264" s="92"/>
      <c r="U264" s="92"/>
      <c r="V264" s="92"/>
      <c r="W264" s="92"/>
      <c r="X264" s="92"/>
      <c r="Y264" s="92"/>
      <c r="Z264" s="92"/>
      <c r="AA264" s="92"/>
      <c r="AB264" s="92"/>
      <c r="AC264" s="92"/>
      <c r="AD264" s="92"/>
      <c r="AE264" s="92"/>
    </row>
    <row r="265" spans="1:31" s="26" customFormat="1">
      <c r="A265" s="145"/>
      <c r="B265" s="133"/>
      <c r="C265" s="92"/>
      <c r="D265" s="92"/>
      <c r="E265" s="92"/>
      <c r="F265" s="92"/>
      <c r="G265" s="92"/>
      <c r="H265" s="92"/>
      <c r="I265" s="92"/>
      <c r="J265" s="92"/>
      <c r="K265" s="92"/>
      <c r="L265" s="92"/>
      <c r="M265" s="92"/>
      <c r="N265" s="92"/>
      <c r="O265" s="92"/>
      <c r="P265" s="92"/>
      <c r="Q265" s="92"/>
      <c r="R265" s="92"/>
      <c r="T265" s="92"/>
      <c r="U265" s="92"/>
      <c r="V265" s="92"/>
      <c r="W265" s="92"/>
      <c r="X265" s="92"/>
      <c r="Y265" s="92"/>
      <c r="Z265" s="92"/>
      <c r="AA265" s="92"/>
      <c r="AB265" s="92"/>
      <c r="AC265" s="92"/>
      <c r="AD265" s="92"/>
      <c r="AE265" s="92"/>
    </row>
    <row r="266" spans="1:31" s="26" customFormat="1">
      <c r="A266" s="145"/>
      <c r="B266" s="133"/>
      <c r="C266" s="92"/>
      <c r="D266" s="92"/>
      <c r="E266" s="92"/>
      <c r="F266" s="92"/>
      <c r="G266" s="92"/>
      <c r="H266" s="92"/>
      <c r="I266" s="92"/>
      <c r="J266" s="92"/>
      <c r="K266" s="92"/>
      <c r="L266" s="92"/>
      <c r="M266" s="92"/>
      <c r="N266" s="92"/>
      <c r="O266" s="92"/>
      <c r="P266" s="92"/>
      <c r="Q266" s="92"/>
      <c r="R266" s="92"/>
      <c r="T266" s="92"/>
      <c r="U266" s="92"/>
      <c r="V266" s="92"/>
      <c r="W266" s="92"/>
      <c r="X266" s="92"/>
      <c r="Y266" s="92"/>
      <c r="Z266" s="92"/>
      <c r="AA266" s="92"/>
      <c r="AB266" s="92"/>
      <c r="AC266" s="92"/>
      <c r="AD266" s="92"/>
      <c r="AE266" s="92"/>
    </row>
    <row r="267" spans="1:31" s="26" customFormat="1">
      <c r="A267" s="145"/>
      <c r="B267" s="133"/>
      <c r="C267" s="92"/>
      <c r="D267" s="92"/>
      <c r="E267" s="92"/>
      <c r="F267" s="92"/>
      <c r="G267" s="92"/>
      <c r="H267" s="92"/>
      <c r="I267" s="92"/>
      <c r="J267" s="92"/>
      <c r="K267" s="92"/>
      <c r="L267" s="92"/>
      <c r="M267" s="92"/>
      <c r="N267" s="92"/>
      <c r="O267" s="92"/>
      <c r="P267" s="92"/>
      <c r="Q267" s="92"/>
      <c r="R267" s="92"/>
      <c r="T267" s="92"/>
      <c r="U267" s="92"/>
      <c r="V267" s="92"/>
      <c r="W267" s="92"/>
      <c r="X267" s="92"/>
      <c r="Y267" s="92"/>
      <c r="Z267" s="92"/>
      <c r="AA267" s="92"/>
      <c r="AB267" s="92"/>
      <c r="AC267" s="92"/>
      <c r="AD267" s="92"/>
      <c r="AE267" s="92"/>
    </row>
    <row r="268" spans="1:31" s="26" customFormat="1">
      <c r="A268" s="145"/>
      <c r="B268" s="133"/>
      <c r="C268" s="92"/>
      <c r="D268" s="92"/>
      <c r="E268" s="92"/>
      <c r="F268" s="92"/>
      <c r="G268" s="92"/>
      <c r="H268" s="92"/>
      <c r="I268" s="92"/>
      <c r="J268" s="92"/>
      <c r="K268" s="92"/>
      <c r="L268" s="92"/>
      <c r="M268" s="92"/>
      <c r="N268" s="92"/>
      <c r="O268" s="92"/>
      <c r="P268" s="92"/>
      <c r="Q268" s="92"/>
      <c r="R268" s="92"/>
      <c r="T268" s="92"/>
      <c r="U268" s="92"/>
      <c r="V268" s="92"/>
      <c r="W268" s="92"/>
      <c r="X268" s="92"/>
      <c r="Y268" s="92"/>
      <c r="Z268" s="92"/>
      <c r="AA268" s="92"/>
      <c r="AB268" s="92"/>
      <c r="AC268" s="92"/>
      <c r="AD268" s="92"/>
      <c r="AE268" s="92"/>
    </row>
    <row r="269" spans="1:31" s="26" customFormat="1">
      <c r="A269" s="145"/>
      <c r="B269" s="133"/>
      <c r="C269" s="92"/>
      <c r="D269" s="92"/>
      <c r="E269" s="92"/>
      <c r="F269" s="92"/>
      <c r="G269" s="92"/>
      <c r="H269" s="92"/>
      <c r="I269" s="92"/>
      <c r="J269" s="92"/>
      <c r="K269" s="92"/>
      <c r="L269" s="92"/>
      <c r="M269" s="92"/>
      <c r="N269" s="92"/>
      <c r="O269" s="92"/>
      <c r="P269" s="92"/>
      <c r="Q269" s="92"/>
      <c r="R269" s="92"/>
      <c r="T269" s="92"/>
      <c r="U269" s="92"/>
      <c r="V269" s="92"/>
      <c r="W269" s="92"/>
      <c r="X269" s="92"/>
      <c r="Y269" s="92"/>
      <c r="Z269" s="92"/>
      <c r="AA269" s="92"/>
      <c r="AB269" s="92"/>
      <c r="AC269" s="92"/>
      <c r="AD269" s="92"/>
      <c r="AE269" s="92"/>
    </row>
    <row r="270" spans="1:31" s="26" customFormat="1">
      <c r="A270" s="145"/>
      <c r="B270" s="133"/>
      <c r="C270" s="92"/>
      <c r="D270" s="92"/>
      <c r="E270" s="92"/>
      <c r="F270" s="92"/>
      <c r="G270" s="92"/>
      <c r="H270" s="92"/>
      <c r="I270" s="92"/>
      <c r="J270" s="92"/>
      <c r="K270" s="92"/>
      <c r="L270" s="92"/>
      <c r="M270" s="92"/>
      <c r="N270" s="92"/>
      <c r="O270" s="92"/>
      <c r="P270" s="92"/>
      <c r="Q270" s="92"/>
      <c r="R270" s="92"/>
      <c r="T270" s="92"/>
      <c r="U270" s="92"/>
      <c r="V270" s="92"/>
      <c r="W270" s="92"/>
      <c r="X270" s="92"/>
      <c r="Y270" s="92"/>
      <c r="Z270" s="92"/>
      <c r="AA270" s="92"/>
      <c r="AB270" s="92"/>
      <c r="AC270" s="92"/>
      <c r="AD270" s="92"/>
      <c r="AE270" s="92"/>
    </row>
    <row r="271" spans="1:31" s="26" customFormat="1">
      <c r="A271" s="145"/>
      <c r="B271" s="133"/>
      <c r="C271" s="92"/>
      <c r="D271" s="92"/>
      <c r="E271" s="92"/>
      <c r="F271" s="92"/>
      <c r="G271" s="92"/>
      <c r="H271" s="92"/>
      <c r="I271" s="92"/>
      <c r="J271" s="92"/>
      <c r="K271" s="92"/>
      <c r="L271" s="92"/>
      <c r="M271" s="92"/>
      <c r="N271" s="92"/>
      <c r="O271" s="92"/>
      <c r="P271" s="92"/>
      <c r="Q271" s="92"/>
      <c r="R271" s="92"/>
      <c r="T271" s="92"/>
      <c r="U271" s="92"/>
      <c r="V271" s="92"/>
      <c r="W271" s="92"/>
      <c r="X271" s="92"/>
      <c r="Y271" s="92"/>
      <c r="Z271" s="92"/>
      <c r="AA271" s="92"/>
      <c r="AB271" s="92"/>
      <c r="AC271" s="92"/>
      <c r="AD271" s="92"/>
      <c r="AE271" s="92"/>
    </row>
    <row r="272" spans="1:31" s="26" customFormat="1">
      <c r="A272" s="145"/>
      <c r="B272" s="133"/>
      <c r="C272" s="92"/>
      <c r="D272" s="92"/>
      <c r="E272" s="92"/>
      <c r="F272" s="92"/>
      <c r="G272" s="92"/>
      <c r="H272" s="92"/>
      <c r="I272" s="92"/>
      <c r="J272" s="92"/>
      <c r="K272" s="92"/>
      <c r="L272" s="92"/>
      <c r="M272" s="92"/>
      <c r="N272" s="92"/>
      <c r="O272" s="92"/>
      <c r="P272" s="92"/>
      <c r="Q272" s="92"/>
      <c r="R272" s="92"/>
      <c r="T272" s="92"/>
      <c r="U272" s="92"/>
      <c r="V272" s="92"/>
      <c r="W272" s="92"/>
      <c r="X272" s="92"/>
      <c r="Y272" s="92"/>
      <c r="Z272" s="92"/>
      <c r="AA272" s="92"/>
      <c r="AB272" s="92"/>
      <c r="AC272" s="92"/>
      <c r="AD272" s="92"/>
      <c r="AE272" s="92"/>
    </row>
    <row r="273" spans="1:31" s="26" customFormat="1">
      <c r="A273" s="145"/>
      <c r="B273" s="133"/>
      <c r="C273" s="92"/>
      <c r="D273" s="92"/>
      <c r="E273" s="92"/>
      <c r="F273" s="92"/>
      <c r="G273" s="92"/>
      <c r="H273" s="92"/>
      <c r="I273" s="92"/>
      <c r="J273" s="92"/>
      <c r="K273" s="92"/>
      <c r="L273" s="92"/>
      <c r="M273" s="92"/>
      <c r="N273" s="92"/>
      <c r="O273" s="92"/>
      <c r="P273" s="92"/>
      <c r="Q273" s="92"/>
      <c r="R273" s="92"/>
      <c r="T273" s="92"/>
      <c r="U273" s="92"/>
      <c r="V273" s="92"/>
      <c r="W273" s="92"/>
      <c r="X273" s="92"/>
      <c r="Y273" s="92"/>
      <c r="Z273" s="92"/>
      <c r="AA273" s="92"/>
      <c r="AB273" s="92"/>
      <c r="AC273" s="92"/>
      <c r="AD273" s="92"/>
      <c r="AE273" s="92"/>
    </row>
    <row r="274" spans="1:31" s="26" customFormat="1">
      <c r="A274" s="145"/>
      <c r="B274" s="133"/>
      <c r="C274" s="92"/>
      <c r="D274" s="92"/>
      <c r="E274" s="92"/>
      <c r="F274" s="92"/>
      <c r="G274" s="92"/>
      <c r="H274" s="92"/>
      <c r="I274" s="92"/>
      <c r="J274" s="92"/>
      <c r="K274" s="92"/>
      <c r="L274" s="92"/>
      <c r="M274" s="92"/>
      <c r="N274" s="92"/>
      <c r="O274" s="92"/>
      <c r="P274" s="92"/>
      <c r="Q274" s="92"/>
      <c r="R274" s="92"/>
      <c r="T274" s="92"/>
      <c r="U274" s="92"/>
      <c r="V274" s="92"/>
      <c r="W274" s="92"/>
      <c r="X274" s="92"/>
      <c r="Y274" s="92"/>
      <c r="Z274" s="92"/>
      <c r="AA274" s="92"/>
      <c r="AB274" s="92"/>
      <c r="AC274" s="92"/>
      <c r="AD274" s="92"/>
      <c r="AE274" s="92"/>
    </row>
    <row r="275" spans="1:31" s="26" customFormat="1">
      <c r="A275" s="145"/>
      <c r="B275" s="133"/>
      <c r="C275" s="92"/>
      <c r="D275" s="92"/>
      <c r="E275" s="92"/>
      <c r="F275" s="92"/>
      <c r="G275" s="92"/>
      <c r="H275" s="92"/>
      <c r="I275" s="92"/>
      <c r="J275" s="92"/>
      <c r="K275" s="92"/>
      <c r="L275" s="92"/>
      <c r="M275" s="92"/>
      <c r="N275" s="92"/>
      <c r="O275" s="92"/>
      <c r="P275" s="92"/>
      <c r="Q275" s="92"/>
      <c r="R275" s="92"/>
      <c r="T275" s="92"/>
      <c r="U275" s="92"/>
      <c r="V275" s="92"/>
      <c r="W275" s="92"/>
      <c r="X275" s="92"/>
      <c r="Y275" s="92"/>
      <c r="Z275" s="92"/>
      <c r="AA275" s="92"/>
      <c r="AB275" s="92"/>
      <c r="AC275" s="92"/>
      <c r="AD275" s="92"/>
      <c r="AE275" s="92"/>
    </row>
    <row r="276" spans="1:31" s="26" customFormat="1">
      <c r="A276" s="145"/>
      <c r="B276" s="133"/>
      <c r="C276" s="92"/>
      <c r="D276" s="92"/>
      <c r="E276" s="92"/>
      <c r="F276" s="92"/>
      <c r="G276" s="92"/>
      <c r="H276" s="92"/>
      <c r="I276" s="92"/>
      <c r="J276" s="92"/>
      <c r="K276" s="92"/>
      <c r="L276" s="92"/>
      <c r="M276" s="92"/>
      <c r="N276" s="92"/>
      <c r="O276" s="92"/>
      <c r="P276" s="92"/>
      <c r="Q276" s="92"/>
      <c r="R276" s="92"/>
      <c r="T276" s="92"/>
      <c r="U276" s="92"/>
      <c r="V276" s="92"/>
      <c r="W276" s="92"/>
      <c r="X276" s="92"/>
      <c r="Y276" s="92"/>
      <c r="Z276" s="92"/>
      <c r="AA276" s="92"/>
      <c r="AB276" s="92"/>
      <c r="AC276" s="92"/>
      <c r="AD276" s="92"/>
      <c r="AE276" s="92"/>
    </row>
    <row r="277" spans="1:31" s="26" customFormat="1">
      <c r="A277" s="145"/>
      <c r="B277" s="133"/>
      <c r="C277" s="92"/>
      <c r="D277" s="92"/>
      <c r="E277" s="92"/>
      <c r="F277" s="92"/>
      <c r="G277" s="92"/>
      <c r="H277" s="92"/>
      <c r="I277" s="92"/>
      <c r="J277" s="92"/>
      <c r="K277" s="92"/>
      <c r="L277" s="92"/>
      <c r="M277" s="92"/>
      <c r="N277" s="92"/>
      <c r="O277" s="92"/>
      <c r="P277" s="92"/>
      <c r="Q277" s="92"/>
      <c r="R277" s="92"/>
      <c r="T277" s="92"/>
      <c r="U277" s="92"/>
      <c r="V277" s="92"/>
      <c r="W277" s="92"/>
      <c r="X277" s="92"/>
      <c r="Y277" s="92"/>
      <c r="Z277" s="92"/>
      <c r="AA277" s="92"/>
      <c r="AB277" s="92"/>
      <c r="AC277" s="92"/>
      <c r="AD277" s="92"/>
      <c r="AE277" s="92"/>
    </row>
    <row r="278" spans="1:31" s="26" customFormat="1">
      <c r="A278" s="145"/>
      <c r="B278" s="133"/>
      <c r="C278" s="92"/>
      <c r="D278" s="92"/>
      <c r="E278" s="92"/>
      <c r="F278" s="92"/>
      <c r="G278" s="92"/>
      <c r="H278" s="92"/>
      <c r="I278" s="92"/>
      <c r="J278" s="92"/>
      <c r="K278" s="92"/>
      <c r="L278" s="92"/>
      <c r="M278" s="92"/>
      <c r="N278" s="92"/>
      <c r="O278" s="92"/>
      <c r="P278" s="92"/>
      <c r="Q278" s="92"/>
      <c r="R278" s="92"/>
      <c r="T278" s="92"/>
      <c r="U278" s="92"/>
      <c r="V278" s="92"/>
      <c r="W278" s="92"/>
      <c r="X278" s="92"/>
      <c r="Y278" s="92"/>
      <c r="Z278" s="92"/>
      <c r="AA278" s="92"/>
      <c r="AB278" s="92"/>
      <c r="AC278" s="92"/>
      <c r="AD278" s="92"/>
      <c r="AE278" s="92"/>
    </row>
    <row r="279" spans="1:31" s="26" customFormat="1">
      <c r="A279" s="145"/>
      <c r="B279" s="133"/>
      <c r="C279" s="92"/>
      <c r="D279" s="92"/>
      <c r="E279" s="92"/>
      <c r="F279" s="92"/>
      <c r="G279" s="92"/>
      <c r="H279" s="92"/>
      <c r="I279" s="92"/>
      <c r="J279" s="92"/>
      <c r="K279" s="92"/>
      <c r="L279" s="92"/>
      <c r="M279" s="92"/>
      <c r="N279" s="92"/>
      <c r="O279" s="92"/>
      <c r="P279" s="92"/>
      <c r="Q279" s="92"/>
      <c r="R279" s="92"/>
      <c r="T279" s="92"/>
      <c r="U279" s="92"/>
      <c r="V279" s="92"/>
      <c r="W279" s="92"/>
      <c r="X279" s="92"/>
      <c r="Y279" s="92"/>
      <c r="Z279" s="92"/>
      <c r="AA279" s="92"/>
      <c r="AB279" s="92"/>
      <c r="AC279" s="92"/>
      <c r="AD279" s="92"/>
      <c r="AE279" s="92"/>
    </row>
    <row r="280" spans="1:31" s="26" customFormat="1">
      <c r="A280" s="145"/>
      <c r="B280" s="133"/>
      <c r="C280" s="92"/>
      <c r="D280" s="92"/>
      <c r="E280" s="92"/>
      <c r="F280" s="92"/>
      <c r="G280" s="92"/>
      <c r="H280" s="92"/>
      <c r="I280" s="92"/>
      <c r="J280" s="92"/>
      <c r="K280" s="92"/>
      <c r="L280" s="92"/>
      <c r="M280" s="92"/>
      <c r="N280" s="92"/>
      <c r="O280" s="92"/>
      <c r="P280" s="92"/>
      <c r="Q280" s="92"/>
      <c r="R280" s="92"/>
      <c r="T280" s="92"/>
      <c r="U280" s="92"/>
      <c r="V280" s="92"/>
      <c r="W280" s="92"/>
      <c r="X280" s="92"/>
      <c r="Y280" s="92"/>
      <c r="Z280" s="92"/>
      <c r="AA280" s="92"/>
      <c r="AB280" s="92"/>
      <c r="AC280" s="92"/>
      <c r="AD280" s="92"/>
      <c r="AE280" s="92"/>
    </row>
    <row r="281" spans="1:31" s="26" customFormat="1">
      <c r="A281" s="145"/>
      <c r="B281" s="133"/>
      <c r="C281" s="92"/>
      <c r="D281" s="92"/>
      <c r="E281" s="92"/>
      <c r="F281" s="92"/>
      <c r="G281" s="92"/>
      <c r="H281" s="92"/>
      <c r="I281" s="92"/>
      <c r="J281" s="92"/>
      <c r="K281" s="92"/>
      <c r="L281" s="92"/>
      <c r="M281" s="92"/>
      <c r="N281" s="92"/>
      <c r="O281" s="92"/>
      <c r="P281" s="92"/>
      <c r="Q281" s="92"/>
      <c r="R281" s="92"/>
      <c r="T281" s="92"/>
      <c r="U281" s="92"/>
      <c r="V281" s="92"/>
      <c r="W281" s="92"/>
      <c r="X281" s="92"/>
      <c r="Y281" s="92"/>
      <c r="Z281" s="92"/>
      <c r="AA281" s="92"/>
      <c r="AB281" s="92"/>
      <c r="AC281" s="92"/>
      <c r="AD281" s="92"/>
      <c r="AE281" s="92"/>
    </row>
    <row r="282" spans="1:31" s="26" customFormat="1">
      <c r="A282" s="145"/>
      <c r="B282" s="133"/>
      <c r="C282" s="92"/>
      <c r="D282" s="92"/>
      <c r="E282" s="92"/>
      <c r="F282" s="92"/>
      <c r="G282" s="92"/>
      <c r="H282" s="92"/>
      <c r="I282" s="92"/>
      <c r="J282" s="92"/>
      <c r="K282" s="92"/>
      <c r="L282" s="92"/>
      <c r="M282" s="92"/>
      <c r="N282" s="92"/>
      <c r="O282" s="92"/>
      <c r="P282" s="92"/>
      <c r="Q282" s="92"/>
      <c r="R282" s="92"/>
      <c r="T282" s="92"/>
      <c r="U282" s="92"/>
      <c r="V282" s="92"/>
      <c r="W282" s="92"/>
      <c r="X282" s="92"/>
      <c r="Y282" s="92"/>
      <c r="Z282" s="92"/>
      <c r="AA282" s="92"/>
      <c r="AB282" s="92"/>
      <c r="AC282" s="92"/>
      <c r="AD282" s="92"/>
      <c r="AE282" s="92"/>
    </row>
    <row r="283" spans="1:31" s="26" customFormat="1">
      <c r="A283" s="145"/>
      <c r="B283" s="133"/>
      <c r="C283" s="92"/>
      <c r="D283" s="92"/>
      <c r="E283" s="92"/>
      <c r="F283" s="92"/>
      <c r="G283" s="92"/>
      <c r="H283" s="92"/>
      <c r="I283" s="92"/>
      <c r="J283" s="92"/>
      <c r="K283" s="92"/>
      <c r="L283" s="92"/>
      <c r="M283" s="92"/>
      <c r="N283" s="92"/>
      <c r="O283" s="92"/>
      <c r="P283" s="92"/>
      <c r="Q283" s="92"/>
      <c r="R283" s="92"/>
      <c r="T283" s="92"/>
      <c r="U283" s="92"/>
      <c r="V283" s="92"/>
      <c r="W283" s="92"/>
      <c r="X283" s="92"/>
      <c r="Y283" s="92"/>
      <c r="Z283" s="92"/>
      <c r="AA283" s="92"/>
      <c r="AB283" s="92"/>
      <c r="AC283" s="92"/>
      <c r="AD283" s="92"/>
      <c r="AE283" s="92"/>
    </row>
    <row r="284" spans="1:31" s="26" customFormat="1">
      <c r="A284" s="145"/>
      <c r="B284" s="133"/>
      <c r="C284" s="92"/>
      <c r="D284" s="92"/>
      <c r="E284" s="92"/>
      <c r="F284" s="92"/>
      <c r="G284" s="92"/>
      <c r="H284" s="92"/>
      <c r="I284" s="92"/>
      <c r="J284" s="92"/>
      <c r="K284" s="92"/>
      <c r="L284" s="92"/>
      <c r="M284" s="92"/>
      <c r="N284" s="92"/>
      <c r="O284" s="92"/>
      <c r="P284" s="92"/>
      <c r="Q284" s="92"/>
      <c r="R284" s="92"/>
      <c r="T284" s="92"/>
      <c r="U284" s="92"/>
      <c r="V284" s="92"/>
      <c r="W284" s="92"/>
      <c r="X284" s="92"/>
      <c r="Y284" s="92"/>
      <c r="Z284" s="92"/>
      <c r="AA284" s="92"/>
      <c r="AB284" s="92"/>
      <c r="AC284" s="92"/>
      <c r="AD284" s="92"/>
      <c r="AE284" s="92"/>
    </row>
    <row r="285" spans="1:31" s="26" customFormat="1">
      <c r="A285" s="145"/>
      <c r="B285" s="133"/>
      <c r="C285" s="92"/>
      <c r="D285" s="92"/>
      <c r="E285" s="92"/>
      <c r="F285" s="92"/>
      <c r="G285" s="92"/>
      <c r="H285" s="92"/>
      <c r="I285" s="92"/>
      <c r="J285" s="92"/>
      <c r="K285" s="92"/>
      <c r="L285" s="92"/>
      <c r="M285" s="92"/>
      <c r="N285" s="92"/>
      <c r="O285" s="92"/>
      <c r="P285" s="92"/>
      <c r="Q285" s="92"/>
      <c r="R285" s="92"/>
      <c r="T285" s="92"/>
      <c r="U285" s="92"/>
      <c r="V285" s="92"/>
      <c r="W285" s="92"/>
      <c r="X285" s="92"/>
      <c r="Y285" s="92"/>
      <c r="Z285" s="92"/>
      <c r="AA285" s="92"/>
      <c r="AB285" s="92"/>
      <c r="AC285" s="92"/>
      <c r="AD285" s="92"/>
      <c r="AE285" s="92"/>
    </row>
    <row r="286" spans="1:31" s="26" customFormat="1">
      <c r="A286" s="145"/>
      <c r="B286" s="133"/>
      <c r="C286" s="92"/>
      <c r="D286" s="92"/>
      <c r="E286" s="92"/>
      <c r="F286" s="92"/>
      <c r="G286" s="92"/>
      <c r="H286" s="92"/>
      <c r="I286" s="92"/>
      <c r="J286" s="92"/>
      <c r="K286" s="92"/>
      <c r="L286" s="92"/>
      <c r="M286" s="92"/>
      <c r="N286" s="92"/>
      <c r="O286" s="92"/>
      <c r="P286" s="92"/>
      <c r="Q286" s="92"/>
      <c r="R286" s="92"/>
      <c r="T286" s="92"/>
      <c r="U286" s="92"/>
      <c r="V286" s="92"/>
      <c r="W286" s="92"/>
      <c r="X286" s="92"/>
      <c r="Y286" s="92"/>
      <c r="Z286" s="92"/>
      <c r="AA286" s="92"/>
      <c r="AB286" s="92"/>
      <c r="AC286" s="92"/>
      <c r="AD286" s="92"/>
      <c r="AE286" s="92"/>
    </row>
    <row r="287" spans="1:31" s="26" customFormat="1">
      <c r="A287" s="145"/>
      <c r="B287" s="133"/>
      <c r="C287" s="92"/>
      <c r="D287" s="92"/>
      <c r="E287" s="92"/>
      <c r="F287" s="92"/>
      <c r="G287" s="92"/>
      <c r="H287" s="92"/>
      <c r="I287" s="92"/>
      <c r="J287" s="92"/>
      <c r="K287" s="92"/>
      <c r="L287" s="92"/>
      <c r="M287" s="92"/>
      <c r="N287" s="92"/>
      <c r="O287" s="92"/>
      <c r="P287" s="92"/>
      <c r="Q287" s="92"/>
      <c r="R287" s="92"/>
      <c r="T287" s="92"/>
      <c r="U287" s="92"/>
      <c r="V287" s="92"/>
      <c r="W287" s="92"/>
      <c r="X287" s="92"/>
      <c r="Y287" s="92"/>
      <c r="Z287" s="92"/>
      <c r="AA287" s="92"/>
      <c r="AB287" s="92"/>
      <c r="AC287" s="92"/>
      <c r="AD287" s="92"/>
      <c r="AE287" s="92"/>
    </row>
    <row r="288" spans="1:31" s="26" customFormat="1">
      <c r="A288" s="145"/>
      <c r="B288" s="133"/>
      <c r="C288" s="92"/>
      <c r="D288" s="92"/>
      <c r="E288" s="92"/>
      <c r="F288" s="92"/>
      <c r="G288" s="92"/>
      <c r="H288" s="92"/>
      <c r="I288" s="92"/>
      <c r="J288" s="92"/>
      <c r="K288" s="92"/>
      <c r="L288" s="92"/>
      <c r="M288" s="92"/>
      <c r="N288" s="92"/>
      <c r="O288" s="92"/>
      <c r="P288" s="92"/>
      <c r="Q288" s="92"/>
      <c r="R288" s="92"/>
      <c r="T288" s="92"/>
      <c r="U288" s="92"/>
      <c r="V288" s="92"/>
      <c r="W288" s="92"/>
      <c r="X288" s="92"/>
      <c r="Y288" s="92"/>
      <c r="Z288" s="92"/>
      <c r="AA288" s="92"/>
      <c r="AB288" s="92"/>
      <c r="AC288" s="92"/>
      <c r="AD288" s="92"/>
      <c r="AE288" s="92"/>
    </row>
    <row r="289" spans="1:31" s="26" customFormat="1">
      <c r="A289" s="145"/>
      <c r="B289" s="133"/>
      <c r="C289" s="92"/>
      <c r="D289" s="92"/>
      <c r="E289" s="92"/>
      <c r="F289" s="92"/>
      <c r="G289" s="92"/>
      <c r="H289" s="92"/>
      <c r="I289" s="92"/>
      <c r="J289" s="92"/>
      <c r="K289" s="92"/>
      <c r="L289" s="92"/>
      <c r="M289" s="92"/>
      <c r="N289" s="92"/>
      <c r="O289" s="92"/>
      <c r="P289" s="92"/>
      <c r="Q289" s="92"/>
      <c r="R289" s="92"/>
      <c r="T289" s="92"/>
      <c r="U289" s="92"/>
      <c r="V289" s="92"/>
      <c r="W289" s="92"/>
      <c r="X289" s="92"/>
      <c r="Y289" s="92"/>
      <c r="Z289" s="92"/>
      <c r="AA289" s="92"/>
      <c r="AB289" s="92"/>
      <c r="AC289" s="92"/>
      <c r="AD289" s="92"/>
      <c r="AE289" s="92"/>
    </row>
    <row r="290" spans="1:31" s="26" customFormat="1">
      <c r="A290" s="145"/>
      <c r="B290" s="133"/>
      <c r="C290" s="92"/>
      <c r="D290" s="92"/>
      <c r="E290" s="92"/>
      <c r="F290" s="92"/>
      <c r="G290" s="92"/>
      <c r="H290" s="92"/>
      <c r="I290" s="92"/>
      <c r="J290" s="92"/>
      <c r="K290" s="92"/>
      <c r="L290" s="92"/>
      <c r="M290" s="92"/>
      <c r="N290" s="92"/>
      <c r="O290" s="92"/>
      <c r="P290" s="92"/>
      <c r="Q290" s="92"/>
      <c r="R290" s="92"/>
      <c r="T290" s="92"/>
      <c r="U290" s="92"/>
      <c r="V290" s="92"/>
      <c r="W290" s="92"/>
      <c r="X290" s="92"/>
      <c r="Y290" s="92"/>
      <c r="Z290" s="92"/>
      <c r="AA290" s="92"/>
      <c r="AB290" s="92"/>
      <c r="AC290" s="92"/>
      <c r="AD290" s="92"/>
      <c r="AE290" s="92"/>
    </row>
    <row r="291" spans="1:31" s="26" customFormat="1">
      <c r="A291" s="145"/>
      <c r="B291" s="133"/>
      <c r="C291" s="92"/>
      <c r="D291" s="92"/>
      <c r="E291" s="92"/>
      <c r="F291" s="92"/>
      <c r="G291" s="92"/>
      <c r="H291" s="92"/>
      <c r="I291" s="92"/>
      <c r="J291" s="92"/>
      <c r="K291" s="92"/>
      <c r="L291" s="92"/>
      <c r="M291" s="92"/>
      <c r="N291" s="92"/>
      <c r="O291" s="92"/>
      <c r="P291" s="92"/>
      <c r="Q291" s="92"/>
      <c r="R291" s="92"/>
      <c r="T291" s="92"/>
      <c r="U291" s="92"/>
      <c r="V291" s="92"/>
      <c r="W291" s="92"/>
      <c r="X291" s="92"/>
      <c r="Y291" s="92"/>
      <c r="Z291" s="92"/>
      <c r="AA291" s="92"/>
      <c r="AB291" s="92"/>
      <c r="AC291" s="92"/>
      <c r="AD291" s="92"/>
      <c r="AE291" s="92"/>
    </row>
    <row r="292" spans="1:31" s="26" customFormat="1">
      <c r="A292" s="145"/>
      <c r="B292" s="133"/>
      <c r="C292" s="92"/>
      <c r="D292" s="92"/>
      <c r="E292" s="92"/>
      <c r="F292" s="92"/>
      <c r="G292" s="92"/>
      <c r="H292" s="92"/>
      <c r="I292" s="92"/>
      <c r="J292" s="92"/>
      <c r="K292" s="92"/>
      <c r="L292" s="92"/>
      <c r="M292" s="92"/>
      <c r="N292" s="92"/>
      <c r="O292" s="92"/>
      <c r="P292" s="92"/>
      <c r="Q292" s="92"/>
      <c r="R292" s="92"/>
      <c r="T292" s="92"/>
      <c r="U292" s="92"/>
      <c r="V292" s="92"/>
      <c r="W292" s="92"/>
      <c r="X292" s="92"/>
      <c r="Y292" s="92"/>
      <c r="Z292" s="92"/>
      <c r="AA292" s="92"/>
      <c r="AB292" s="92"/>
      <c r="AC292" s="92"/>
      <c r="AD292" s="92"/>
      <c r="AE292" s="92"/>
    </row>
    <row r="293" spans="1:31" s="26" customFormat="1">
      <c r="A293" s="145"/>
      <c r="B293" s="133"/>
      <c r="C293" s="92"/>
      <c r="D293" s="92"/>
      <c r="E293" s="92"/>
      <c r="F293" s="92"/>
      <c r="G293" s="92"/>
      <c r="H293" s="92"/>
      <c r="I293" s="92"/>
      <c r="J293" s="92"/>
      <c r="K293" s="92"/>
      <c r="L293" s="92"/>
      <c r="M293" s="92"/>
      <c r="N293" s="92"/>
      <c r="O293" s="92"/>
      <c r="P293" s="92"/>
      <c r="Q293" s="92"/>
      <c r="R293" s="92"/>
      <c r="T293" s="92"/>
      <c r="U293" s="92"/>
      <c r="V293" s="92"/>
      <c r="W293" s="92"/>
      <c r="X293" s="92"/>
      <c r="Y293" s="92"/>
      <c r="Z293" s="92"/>
      <c r="AA293" s="92"/>
      <c r="AB293" s="92"/>
      <c r="AC293" s="92"/>
      <c r="AD293" s="92"/>
      <c r="AE293" s="92"/>
    </row>
    <row r="294" spans="1:31" s="26" customFormat="1">
      <c r="A294" s="145"/>
      <c r="B294" s="133"/>
      <c r="C294" s="92"/>
      <c r="D294" s="92"/>
      <c r="E294" s="92"/>
      <c r="F294" s="92"/>
      <c r="G294" s="92"/>
      <c r="H294" s="92"/>
      <c r="I294" s="92"/>
      <c r="J294" s="92"/>
      <c r="K294" s="92"/>
      <c r="L294" s="92"/>
      <c r="M294" s="92"/>
      <c r="N294" s="92"/>
      <c r="O294" s="92"/>
      <c r="P294" s="92"/>
      <c r="Q294" s="92"/>
      <c r="R294" s="92"/>
      <c r="T294" s="92"/>
      <c r="U294" s="92"/>
      <c r="V294" s="92"/>
      <c r="W294" s="92"/>
      <c r="X294" s="92"/>
      <c r="Y294" s="92"/>
      <c r="Z294" s="92"/>
      <c r="AA294" s="92"/>
      <c r="AB294" s="92"/>
      <c r="AC294" s="92"/>
      <c r="AD294" s="92"/>
      <c r="AE294" s="92"/>
    </row>
    <row r="295" spans="1:31" s="26" customFormat="1">
      <c r="A295" s="145"/>
      <c r="B295" s="133"/>
      <c r="C295" s="92"/>
      <c r="D295" s="92"/>
      <c r="E295" s="92"/>
      <c r="F295" s="92"/>
      <c r="G295" s="92"/>
      <c r="H295" s="92"/>
      <c r="I295" s="92"/>
      <c r="J295" s="92"/>
      <c r="K295" s="92"/>
      <c r="L295" s="92"/>
      <c r="M295" s="92"/>
      <c r="N295" s="92"/>
      <c r="O295" s="92"/>
      <c r="P295" s="92"/>
      <c r="Q295" s="92"/>
      <c r="R295" s="92"/>
      <c r="T295" s="92"/>
      <c r="U295" s="92"/>
      <c r="V295" s="92"/>
      <c r="W295" s="92"/>
      <c r="X295" s="92"/>
      <c r="Y295" s="92"/>
      <c r="Z295" s="92"/>
      <c r="AA295" s="92"/>
      <c r="AB295" s="92"/>
      <c r="AC295" s="92"/>
      <c r="AD295" s="92"/>
      <c r="AE295" s="92"/>
    </row>
    <row r="296" spans="1:31" s="26" customFormat="1">
      <c r="A296" s="145"/>
      <c r="B296" s="133"/>
      <c r="C296" s="92"/>
      <c r="D296" s="92"/>
      <c r="E296" s="92"/>
      <c r="F296" s="92"/>
      <c r="G296" s="92"/>
      <c r="H296" s="92"/>
      <c r="I296" s="92"/>
      <c r="J296" s="92"/>
      <c r="K296" s="92"/>
      <c r="L296" s="92"/>
      <c r="M296" s="92"/>
      <c r="N296" s="92"/>
      <c r="O296" s="92"/>
      <c r="P296" s="92"/>
      <c r="Q296" s="92"/>
      <c r="R296" s="92"/>
      <c r="T296" s="92"/>
      <c r="U296" s="92"/>
      <c r="V296" s="92"/>
      <c r="W296" s="92"/>
      <c r="X296" s="92"/>
      <c r="Y296" s="92"/>
      <c r="Z296" s="92"/>
      <c r="AA296" s="92"/>
      <c r="AB296" s="92"/>
      <c r="AC296" s="92"/>
      <c r="AD296" s="92"/>
      <c r="AE296" s="92"/>
    </row>
    <row r="297" spans="1:31" s="26" customFormat="1">
      <c r="A297" s="145"/>
      <c r="B297" s="133"/>
      <c r="C297" s="92"/>
      <c r="D297" s="92"/>
      <c r="E297" s="92"/>
      <c r="F297" s="92"/>
      <c r="G297" s="92"/>
      <c r="H297" s="92"/>
      <c r="I297" s="92"/>
      <c r="J297" s="92"/>
      <c r="K297" s="92"/>
      <c r="L297" s="92"/>
      <c r="M297" s="92"/>
      <c r="N297" s="92"/>
      <c r="O297" s="92"/>
      <c r="P297" s="92"/>
      <c r="Q297" s="92"/>
      <c r="R297" s="92"/>
      <c r="T297" s="92"/>
      <c r="U297" s="92"/>
      <c r="V297" s="92"/>
      <c r="W297" s="92"/>
      <c r="X297" s="92"/>
      <c r="Y297" s="92"/>
      <c r="Z297" s="92"/>
      <c r="AA297" s="92"/>
      <c r="AB297" s="92"/>
      <c r="AC297" s="92"/>
      <c r="AD297" s="92"/>
      <c r="AE297" s="92"/>
    </row>
    <row r="298" spans="1:31" s="26" customFormat="1">
      <c r="A298" s="145"/>
      <c r="B298" s="133"/>
      <c r="C298" s="92"/>
      <c r="D298" s="92"/>
      <c r="E298" s="92"/>
      <c r="F298" s="92"/>
      <c r="G298" s="92"/>
      <c r="H298" s="92"/>
      <c r="I298" s="92"/>
      <c r="J298" s="92"/>
      <c r="K298" s="92"/>
      <c r="L298" s="92"/>
      <c r="M298" s="92"/>
      <c r="N298" s="92"/>
      <c r="O298" s="92"/>
      <c r="P298" s="92"/>
      <c r="Q298" s="92"/>
      <c r="R298" s="92"/>
      <c r="T298" s="92"/>
      <c r="U298" s="92"/>
      <c r="V298" s="92"/>
      <c r="W298" s="92"/>
      <c r="X298" s="92"/>
      <c r="Y298" s="92"/>
      <c r="Z298" s="92"/>
      <c r="AA298" s="92"/>
      <c r="AB298" s="92"/>
      <c r="AC298" s="92"/>
      <c r="AD298" s="92"/>
      <c r="AE298" s="92"/>
    </row>
    <row r="299" spans="1:31" s="26" customFormat="1">
      <c r="A299" s="145"/>
      <c r="B299" s="133"/>
      <c r="C299" s="92"/>
      <c r="D299" s="92"/>
      <c r="E299" s="92"/>
      <c r="F299" s="92"/>
      <c r="G299" s="92"/>
      <c r="H299" s="92"/>
      <c r="I299" s="92"/>
      <c r="J299" s="92"/>
      <c r="K299" s="92"/>
      <c r="L299" s="92"/>
      <c r="M299" s="92"/>
      <c r="N299" s="92"/>
      <c r="O299" s="92"/>
      <c r="P299" s="92"/>
      <c r="Q299" s="92"/>
      <c r="R299" s="92"/>
      <c r="T299" s="92"/>
      <c r="U299" s="92"/>
      <c r="V299" s="92"/>
      <c r="W299" s="92"/>
      <c r="X299" s="92"/>
      <c r="Y299" s="92"/>
      <c r="Z299" s="92"/>
      <c r="AA299" s="92"/>
      <c r="AB299" s="92"/>
      <c r="AC299" s="92"/>
      <c r="AD299" s="92"/>
      <c r="AE299" s="92"/>
    </row>
    <row r="300" spans="1:31" s="26" customFormat="1">
      <c r="A300" s="145"/>
      <c r="B300" s="133"/>
      <c r="C300" s="92"/>
      <c r="D300" s="92"/>
      <c r="E300" s="92"/>
      <c r="F300" s="92"/>
      <c r="G300" s="92"/>
      <c r="H300" s="92"/>
      <c r="I300" s="92"/>
      <c r="J300" s="92"/>
      <c r="K300" s="92"/>
      <c r="L300" s="92"/>
      <c r="M300" s="92"/>
      <c r="N300" s="92"/>
      <c r="O300" s="92"/>
      <c r="P300" s="92"/>
      <c r="Q300" s="92"/>
      <c r="R300" s="92"/>
      <c r="T300" s="92"/>
      <c r="U300" s="92"/>
      <c r="V300" s="92"/>
      <c r="W300" s="92"/>
      <c r="X300" s="92"/>
      <c r="Y300" s="92"/>
      <c r="Z300" s="92"/>
      <c r="AA300" s="92"/>
      <c r="AB300" s="92"/>
      <c r="AC300" s="92"/>
      <c r="AD300" s="92"/>
      <c r="AE300" s="92"/>
    </row>
    <row r="301" spans="1:31" s="26" customFormat="1">
      <c r="A301" s="145"/>
      <c r="B301" s="133"/>
      <c r="C301" s="92"/>
      <c r="D301" s="92"/>
      <c r="E301" s="92"/>
      <c r="F301" s="92"/>
      <c r="G301" s="92"/>
      <c r="H301" s="92"/>
      <c r="I301" s="92"/>
      <c r="J301" s="92"/>
      <c r="K301" s="92"/>
      <c r="L301" s="92"/>
      <c r="M301" s="92"/>
      <c r="N301" s="92"/>
      <c r="O301" s="92"/>
      <c r="P301" s="92"/>
      <c r="Q301" s="92"/>
      <c r="R301" s="92"/>
      <c r="T301" s="92"/>
      <c r="U301" s="92"/>
      <c r="V301" s="92"/>
      <c r="W301" s="92"/>
      <c r="X301" s="92"/>
      <c r="Y301" s="92"/>
      <c r="Z301" s="92"/>
      <c r="AA301" s="92"/>
      <c r="AB301" s="92"/>
      <c r="AC301" s="92"/>
      <c r="AD301" s="92"/>
      <c r="AE301" s="92"/>
    </row>
    <row r="302" spans="1:31" s="26" customFormat="1">
      <c r="A302" s="145"/>
      <c r="B302" s="133"/>
      <c r="C302" s="92"/>
      <c r="D302" s="92"/>
      <c r="E302" s="92"/>
      <c r="F302" s="92"/>
      <c r="G302" s="92"/>
      <c r="H302" s="92"/>
      <c r="I302" s="92"/>
      <c r="J302" s="92"/>
      <c r="K302" s="92"/>
      <c r="L302" s="92"/>
      <c r="M302" s="92"/>
      <c r="N302" s="92"/>
      <c r="O302" s="92"/>
      <c r="P302" s="92"/>
      <c r="Q302" s="92"/>
      <c r="R302" s="92"/>
      <c r="T302" s="92"/>
      <c r="U302" s="92"/>
      <c r="V302" s="92"/>
      <c r="W302" s="92"/>
      <c r="X302" s="92"/>
      <c r="Y302" s="92"/>
      <c r="Z302" s="92"/>
      <c r="AA302" s="92"/>
      <c r="AB302" s="92"/>
      <c r="AC302" s="92"/>
      <c r="AD302" s="92"/>
      <c r="AE302" s="92"/>
    </row>
    <row r="303" spans="1:31" s="26" customFormat="1">
      <c r="A303" s="145"/>
      <c r="B303" s="133"/>
      <c r="C303" s="92"/>
      <c r="D303" s="92"/>
      <c r="E303" s="92"/>
      <c r="F303" s="92"/>
      <c r="G303" s="92"/>
      <c r="H303" s="92"/>
      <c r="I303" s="92"/>
      <c r="J303" s="92"/>
      <c r="K303" s="92"/>
      <c r="L303" s="92"/>
      <c r="M303" s="92"/>
      <c r="N303" s="92"/>
      <c r="O303" s="92"/>
      <c r="P303" s="92"/>
      <c r="Q303" s="92"/>
      <c r="R303" s="92"/>
      <c r="T303" s="92"/>
      <c r="U303" s="92"/>
      <c r="V303" s="92"/>
      <c r="W303" s="92"/>
      <c r="X303" s="92"/>
      <c r="Y303" s="92"/>
      <c r="Z303" s="92"/>
      <c r="AA303" s="92"/>
      <c r="AB303" s="92"/>
      <c r="AC303" s="92"/>
      <c r="AD303" s="92"/>
      <c r="AE303" s="92"/>
    </row>
    <row r="304" spans="1:31" s="26" customFormat="1">
      <c r="A304" s="145"/>
      <c r="B304" s="133"/>
      <c r="C304" s="92"/>
      <c r="D304" s="92"/>
      <c r="E304" s="92"/>
      <c r="F304" s="92"/>
      <c r="G304" s="92"/>
      <c r="H304" s="92"/>
      <c r="I304" s="92"/>
      <c r="J304" s="92"/>
      <c r="K304" s="92"/>
      <c r="L304" s="92"/>
      <c r="M304" s="92"/>
      <c r="N304" s="92"/>
      <c r="O304" s="92"/>
      <c r="P304" s="92"/>
      <c r="Q304" s="92"/>
      <c r="R304" s="92"/>
      <c r="T304" s="92"/>
      <c r="U304" s="92"/>
      <c r="V304" s="92"/>
      <c r="W304" s="92"/>
      <c r="X304" s="92"/>
      <c r="Y304" s="92"/>
      <c r="Z304" s="92"/>
      <c r="AA304" s="92"/>
      <c r="AB304" s="92"/>
      <c r="AC304" s="92"/>
      <c r="AD304" s="92"/>
      <c r="AE304" s="92"/>
    </row>
    <row r="305" spans="1:31" s="26" customFormat="1">
      <c r="A305" s="145"/>
      <c r="B305" s="133"/>
      <c r="C305" s="92"/>
      <c r="D305" s="92"/>
      <c r="E305" s="92"/>
      <c r="F305" s="92"/>
      <c r="G305" s="92"/>
      <c r="H305" s="92"/>
      <c r="I305" s="92"/>
      <c r="J305" s="92"/>
      <c r="K305" s="92"/>
      <c r="L305" s="92"/>
      <c r="M305" s="92"/>
      <c r="N305" s="92"/>
      <c r="O305" s="92"/>
      <c r="P305" s="92"/>
      <c r="Q305" s="92"/>
      <c r="R305" s="92"/>
      <c r="T305" s="92"/>
      <c r="U305" s="92"/>
      <c r="V305" s="92"/>
      <c r="W305" s="92"/>
      <c r="X305" s="92"/>
      <c r="Y305" s="92"/>
      <c r="Z305" s="92"/>
      <c r="AA305" s="92"/>
      <c r="AB305" s="92"/>
      <c r="AC305" s="92"/>
      <c r="AD305" s="92"/>
      <c r="AE305" s="92"/>
    </row>
    <row r="306" spans="1:31" s="26" customFormat="1">
      <c r="A306" s="145"/>
      <c r="B306" s="133"/>
      <c r="C306" s="92"/>
      <c r="D306" s="92"/>
      <c r="E306" s="92"/>
      <c r="F306" s="92"/>
      <c r="G306" s="92"/>
      <c r="H306" s="92"/>
      <c r="I306" s="92"/>
      <c r="J306" s="92"/>
      <c r="K306" s="92"/>
      <c r="L306" s="92"/>
      <c r="M306" s="92"/>
      <c r="N306" s="92"/>
      <c r="O306" s="92"/>
      <c r="P306" s="92"/>
      <c r="Q306" s="92"/>
      <c r="R306" s="92"/>
      <c r="T306" s="92"/>
      <c r="U306" s="92"/>
      <c r="V306" s="92"/>
      <c r="W306" s="92"/>
      <c r="X306" s="92"/>
      <c r="Y306" s="92"/>
      <c r="Z306" s="92"/>
      <c r="AA306" s="92"/>
      <c r="AB306" s="92"/>
      <c r="AC306" s="92"/>
      <c r="AD306" s="92"/>
      <c r="AE306" s="92"/>
    </row>
    <row r="307" spans="1:31" s="26" customFormat="1">
      <c r="A307" s="145"/>
      <c r="B307" s="133"/>
      <c r="C307" s="92"/>
      <c r="D307" s="92"/>
      <c r="E307" s="92"/>
      <c r="F307" s="92"/>
      <c r="G307" s="92"/>
      <c r="H307" s="92"/>
      <c r="I307" s="92"/>
      <c r="J307" s="92"/>
      <c r="K307" s="92"/>
      <c r="L307" s="92"/>
      <c r="M307" s="92"/>
      <c r="N307" s="92"/>
      <c r="O307" s="92"/>
      <c r="P307" s="92"/>
      <c r="Q307" s="92"/>
      <c r="R307" s="92"/>
      <c r="T307" s="92"/>
      <c r="U307" s="92"/>
      <c r="V307" s="92"/>
      <c r="W307" s="92"/>
      <c r="X307" s="92"/>
      <c r="Y307" s="92"/>
      <c r="Z307" s="92"/>
      <c r="AA307" s="92"/>
      <c r="AB307" s="92"/>
      <c r="AC307" s="92"/>
      <c r="AD307" s="92"/>
      <c r="AE307" s="92"/>
    </row>
    <row r="308" spans="1:31" s="26" customFormat="1">
      <c r="A308" s="145"/>
      <c r="B308" s="133"/>
      <c r="C308" s="92"/>
      <c r="D308" s="92"/>
      <c r="E308" s="92"/>
      <c r="F308" s="92"/>
      <c r="G308" s="92"/>
      <c r="H308" s="92"/>
      <c r="I308" s="92"/>
      <c r="J308" s="92"/>
      <c r="K308" s="92"/>
      <c r="L308" s="92"/>
      <c r="M308" s="92"/>
      <c r="N308" s="92"/>
      <c r="O308" s="92"/>
      <c r="P308" s="92"/>
      <c r="Q308" s="92"/>
      <c r="R308" s="92"/>
      <c r="T308" s="92"/>
      <c r="U308" s="92"/>
      <c r="V308" s="92"/>
      <c r="W308" s="92"/>
      <c r="X308" s="92"/>
      <c r="Y308" s="92"/>
      <c r="Z308" s="92"/>
      <c r="AA308" s="92"/>
      <c r="AB308" s="92"/>
      <c r="AC308" s="92"/>
      <c r="AD308" s="92"/>
      <c r="AE308" s="92"/>
    </row>
    <row r="309" spans="1:31" s="26" customFormat="1">
      <c r="A309" s="145"/>
      <c r="B309" s="133"/>
      <c r="C309" s="92"/>
      <c r="D309" s="92"/>
      <c r="E309" s="92"/>
      <c r="F309" s="92"/>
      <c r="G309" s="92"/>
      <c r="H309" s="92"/>
      <c r="I309" s="92"/>
      <c r="J309" s="92"/>
      <c r="K309" s="92"/>
      <c r="L309" s="92"/>
      <c r="M309" s="92"/>
      <c r="N309" s="92"/>
      <c r="O309" s="92"/>
      <c r="P309" s="92"/>
      <c r="Q309" s="92"/>
      <c r="R309" s="92"/>
      <c r="T309" s="92"/>
      <c r="U309" s="92"/>
      <c r="V309" s="92"/>
      <c r="W309" s="92"/>
      <c r="X309" s="92"/>
      <c r="Y309" s="92"/>
      <c r="Z309" s="92"/>
      <c r="AA309" s="92"/>
      <c r="AB309" s="92"/>
      <c r="AC309" s="92"/>
      <c r="AD309" s="92"/>
      <c r="AE309" s="92"/>
    </row>
    <row r="310" spans="1:31" s="26" customFormat="1">
      <c r="A310" s="145"/>
      <c r="B310" s="133"/>
      <c r="C310" s="92"/>
      <c r="D310" s="92"/>
      <c r="E310" s="92"/>
      <c r="F310" s="92"/>
      <c r="G310" s="92"/>
      <c r="H310" s="92"/>
      <c r="I310" s="92"/>
      <c r="J310" s="92"/>
      <c r="K310" s="92"/>
      <c r="L310" s="92"/>
      <c r="M310" s="92"/>
      <c r="N310" s="92"/>
      <c r="O310" s="92"/>
      <c r="P310" s="92"/>
      <c r="Q310" s="92"/>
      <c r="R310" s="92"/>
      <c r="T310" s="92"/>
      <c r="U310" s="92"/>
      <c r="V310" s="92"/>
      <c r="W310" s="92"/>
      <c r="X310" s="92"/>
      <c r="Y310" s="92"/>
      <c r="Z310" s="92"/>
      <c r="AA310" s="92"/>
      <c r="AB310" s="92"/>
      <c r="AC310" s="92"/>
      <c r="AD310" s="92"/>
      <c r="AE310" s="92"/>
    </row>
    <row r="311" spans="1:31" s="26" customFormat="1">
      <c r="A311" s="145"/>
      <c r="B311" s="133"/>
      <c r="C311" s="92"/>
      <c r="D311" s="92"/>
      <c r="E311" s="92"/>
      <c r="F311" s="92"/>
      <c r="G311" s="92"/>
      <c r="H311" s="92"/>
      <c r="I311" s="92"/>
      <c r="J311" s="92"/>
      <c r="K311" s="92"/>
      <c r="L311" s="92"/>
      <c r="M311" s="92"/>
      <c r="N311" s="92"/>
      <c r="O311" s="92"/>
      <c r="P311" s="92"/>
      <c r="Q311" s="92"/>
      <c r="R311" s="92"/>
      <c r="T311" s="92"/>
      <c r="U311" s="92"/>
      <c r="V311" s="92"/>
      <c r="W311" s="92"/>
      <c r="X311" s="92"/>
      <c r="Y311" s="92"/>
      <c r="Z311" s="92"/>
      <c r="AA311" s="92"/>
      <c r="AB311" s="92"/>
      <c r="AC311" s="92"/>
      <c r="AD311" s="92"/>
      <c r="AE311" s="92"/>
    </row>
    <row r="312" spans="1:31" s="26" customFormat="1">
      <c r="A312" s="145"/>
      <c r="B312" s="133"/>
      <c r="C312" s="92"/>
      <c r="D312" s="92"/>
      <c r="E312" s="92"/>
      <c r="F312" s="92"/>
      <c r="G312" s="92"/>
      <c r="H312" s="92"/>
      <c r="I312" s="92"/>
      <c r="J312" s="92"/>
      <c r="K312" s="92"/>
      <c r="L312" s="92"/>
      <c r="M312" s="92"/>
      <c r="N312" s="92"/>
      <c r="O312" s="92"/>
      <c r="P312" s="92"/>
      <c r="Q312" s="92"/>
      <c r="R312" s="92"/>
      <c r="T312" s="92"/>
      <c r="U312" s="92"/>
      <c r="V312" s="92"/>
      <c r="W312" s="92"/>
      <c r="X312" s="92"/>
      <c r="Y312" s="92"/>
      <c r="Z312" s="92"/>
      <c r="AA312" s="92"/>
      <c r="AB312" s="92"/>
      <c r="AC312" s="92"/>
      <c r="AD312" s="92"/>
      <c r="AE312" s="92"/>
    </row>
    <row r="313" spans="1:31" s="26" customFormat="1">
      <c r="A313" s="145"/>
      <c r="B313" s="133"/>
      <c r="C313" s="92"/>
      <c r="D313" s="92"/>
      <c r="E313" s="92"/>
      <c r="F313" s="92"/>
      <c r="G313" s="92"/>
      <c r="H313" s="92"/>
      <c r="I313" s="92"/>
      <c r="J313" s="92"/>
      <c r="K313" s="92"/>
      <c r="L313" s="92"/>
      <c r="M313" s="92"/>
      <c r="N313" s="92"/>
      <c r="O313" s="92"/>
      <c r="P313" s="92"/>
      <c r="Q313" s="92"/>
      <c r="R313" s="92"/>
      <c r="T313" s="92"/>
      <c r="U313" s="92"/>
      <c r="V313" s="92"/>
      <c r="W313" s="92"/>
      <c r="X313" s="92"/>
      <c r="Y313" s="92"/>
      <c r="Z313" s="92"/>
      <c r="AA313" s="92"/>
      <c r="AB313" s="92"/>
      <c r="AC313" s="92"/>
      <c r="AD313" s="92"/>
      <c r="AE313" s="92"/>
    </row>
    <row r="314" spans="1:31" s="26" customFormat="1">
      <c r="A314" s="145"/>
      <c r="B314" s="133"/>
      <c r="C314" s="92"/>
      <c r="D314" s="92"/>
      <c r="E314" s="92"/>
      <c r="F314" s="92"/>
      <c r="G314" s="92"/>
      <c r="H314" s="92"/>
      <c r="I314" s="92"/>
      <c r="J314" s="92"/>
      <c r="K314" s="92"/>
      <c r="L314" s="92"/>
      <c r="M314" s="92"/>
      <c r="N314" s="92"/>
      <c r="O314" s="92"/>
      <c r="P314" s="92"/>
      <c r="Q314" s="92"/>
      <c r="R314" s="92"/>
      <c r="T314" s="92"/>
      <c r="U314" s="92"/>
      <c r="V314" s="92"/>
      <c r="W314" s="92"/>
      <c r="X314" s="92"/>
      <c r="Y314" s="92"/>
      <c r="Z314" s="92"/>
      <c r="AA314" s="92"/>
      <c r="AB314" s="92"/>
      <c r="AC314" s="92"/>
      <c r="AD314" s="92"/>
      <c r="AE314" s="92"/>
    </row>
    <row r="315" spans="1:31" s="26" customFormat="1">
      <c r="A315" s="145"/>
      <c r="B315" s="133"/>
      <c r="C315" s="92"/>
      <c r="D315" s="92"/>
      <c r="E315" s="92"/>
      <c r="F315" s="92"/>
      <c r="G315" s="92"/>
      <c r="H315" s="92"/>
      <c r="I315" s="92"/>
      <c r="J315" s="92"/>
      <c r="K315" s="92"/>
      <c r="L315" s="92"/>
      <c r="M315" s="92"/>
      <c r="N315" s="92"/>
      <c r="O315" s="92"/>
      <c r="P315" s="92"/>
      <c r="Q315" s="92"/>
      <c r="R315" s="92"/>
      <c r="T315" s="92"/>
      <c r="U315" s="92"/>
      <c r="V315" s="92"/>
      <c r="W315" s="92"/>
      <c r="X315" s="92"/>
      <c r="Y315" s="92"/>
      <c r="Z315" s="92"/>
      <c r="AA315" s="92"/>
      <c r="AB315" s="92"/>
      <c r="AC315" s="92"/>
      <c r="AD315" s="92"/>
      <c r="AE315" s="92"/>
    </row>
    <row r="316" spans="1:31" s="26" customFormat="1">
      <c r="A316" s="145"/>
      <c r="B316" s="133"/>
      <c r="C316" s="92"/>
      <c r="D316" s="92"/>
      <c r="E316" s="92"/>
      <c r="F316" s="92"/>
      <c r="G316" s="92"/>
      <c r="H316" s="92"/>
      <c r="I316" s="92"/>
      <c r="J316" s="92"/>
      <c r="K316" s="92"/>
      <c r="L316" s="92"/>
      <c r="M316" s="92"/>
      <c r="N316" s="92"/>
      <c r="O316" s="92"/>
      <c r="P316" s="92"/>
      <c r="Q316" s="92"/>
      <c r="R316" s="92"/>
      <c r="T316" s="92"/>
      <c r="U316" s="92"/>
      <c r="V316" s="92"/>
      <c r="W316" s="92"/>
      <c r="X316" s="92"/>
      <c r="Y316" s="92"/>
      <c r="Z316" s="92"/>
      <c r="AA316" s="92"/>
      <c r="AB316" s="92"/>
      <c r="AC316" s="92"/>
      <c r="AD316" s="92"/>
      <c r="AE316" s="92"/>
    </row>
    <row r="317" spans="1:31" s="26" customFormat="1">
      <c r="A317" s="145"/>
      <c r="B317" s="133"/>
      <c r="C317" s="92"/>
      <c r="D317" s="92"/>
      <c r="E317" s="92"/>
      <c r="F317" s="92"/>
      <c r="G317" s="92"/>
      <c r="H317" s="92"/>
      <c r="I317" s="92"/>
      <c r="J317" s="92"/>
      <c r="K317" s="92"/>
      <c r="L317" s="92"/>
      <c r="M317" s="92"/>
      <c r="N317" s="92"/>
      <c r="O317" s="92"/>
      <c r="P317" s="92"/>
      <c r="Q317" s="92"/>
      <c r="R317" s="92"/>
      <c r="T317" s="92"/>
      <c r="U317" s="92"/>
      <c r="V317" s="92"/>
      <c r="W317" s="92"/>
      <c r="X317" s="92"/>
      <c r="Y317" s="92"/>
      <c r="Z317" s="92"/>
      <c r="AA317" s="92"/>
      <c r="AB317" s="92"/>
      <c r="AC317" s="92"/>
      <c r="AD317" s="92"/>
      <c r="AE317" s="92"/>
    </row>
    <row r="318" spans="1:31" s="26" customFormat="1">
      <c r="A318" s="145"/>
      <c r="B318" s="133"/>
      <c r="C318" s="92"/>
      <c r="D318" s="92"/>
      <c r="E318" s="92"/>
      <c r="F318" s="92"/>
      <c r="G318" s="92"/>
      <c r="H318" s="92"/>
      <c r="I318" s="92"/>
      <c r="J318" s="92"/>
      <c r="K318" s="92"/>
      <c r="L318" s="92"/>
      <c r="M318" s="92"/>
      <c r="N318" s="92"/>
      <c r="O318" s="92"/>
      <c r="P318" s="92"/>
      <c r="Q318" s="92"/>
      <c r="R318" s="92"/>
      <c r="T318" s="92"/>
      <c r="U318" s="92"/>
      <c r="V318" s="92"/>
      <c r="W318" s="92"/>
      <c r="X318" s="92"/>
      <c r="Y318" s="92"/>
      <c r="Z318" s="92"/>
      <c r="AA318" s="92"/>
      <c r="AB318" s="92"/>
      <c r="AC318" s="92"/>
      <c r="AD318" s="92"/>
      <c r="AE318" s="92"/>
    </row>
    <row r="319" spans="1:31" s="26" customFormat="1">
      <c r="A319" s="145"/>
      <c r="B319" s="133"/>
      <c r="C319" s="92"/>
      <c r="D319" s="92"/>
      <c r="E319" s="92"/>
      <c r="F319" s="92"/>
      <c r="G319" s="92"/>
      <c r="H319" s="92"/>
      <c r="I319" s="92"/>
      <c r="J319" s="92"/>
      <c r="K319" s="92"/>
      <c r="L319" s="92"/>
      <c r="M319" s="92"/>
      <c r="N319" s="92"/>
      <c r="O319" s="92"/>
      <c r="P319" s="92"/>
      <c r="Q319" s="92"/>
      <c r="R319" s="92"/>
      <c r="T319" s="92"/>
      <c r="U319" s="92"/>
      <c r="V319" s="92"/>
      <c r="W319" s="92"/>
      <c r="X319" s="92"/>
      <c r="Y319" s="92"/>
      <c r="Z319" s="92"/>
      <c r="AA319" s="92"/>
      <c r="AB319" s="92"/>
      <c r="AC319" s="92"/>
      <c r="AD319" s="92"/>
      <c r="AE319" s="92"/>
    </row>
    <row r="320" spans="1:31" s="26" customFormat="1">
      <c r="A320" s="145"/>
      <c r="B320" s="133"/>
      <c r="C320" s="92"/>
      <c r="D320" s="92"/>
      <c r="E320" s="92"/>
      <c r="F320" s="92"/>
      <c r="G320" s="92"/>
      <c r="H320" s="92"/>
      <c r="I320" s="92"/>
      <c r="J320" s="92"/>
      <c r="K320" s="92"/>
      <c r="L320" s="92"/>
      <c r="M320" s="92"/>
      <c r="N320" s="92"/>
      <c r="O320" s="92"/>
      <c r="P320" s="92"/>
      <c r="Q320" s="92"/>
      <c r="R320" s="92"/>
      <c r="T320" s="92"/>
      <c r="U320" s="92"/>
      <c r="V320" s="92"/>
      <c r="W320" s="92"/>
      <c r="X320" s="92"/>
      <c r="Y320" s="92"/>
      <c r="Z320" s="92"/>
      <c r="AA320" s="92"/>
      <c r="AB320" s="92"/>
      <c r="AC320" s="92"/>
      <c r="AD320" s="92"/>
      <c r="AE320" s="92"/>
    </row>
    <row r="321" spans="1:31" s="26" customFormat="1">
      <c r="A321" s="145"/>
      <c r="B321" s="133"/>
      <c r="C321" s="92"/>
      <c r="D321" s="92"/>
      <c r="E321" s="92"/>
      <c r="F321" s="92"/>
      <c r="G321" s="92"/>
      <c r="H321" s="92"/>
      <c r="I321" s="92"/>
      <c r="J321" s="92"/>
      <c r="K321" s="92"/>
      <c r="L321" s="92"/>
      <c r="M321" s="92"/>
      <c r="N321" s="92"/>
      <c r="O321" s="92"/>
      <c r="P321" s="92"/>
      <c r="Q321" s="92"/>
      <c r="R321" s="92"/>
      <c r="T321" s="92"/>
      <c r="U321" s="92"/>
      <c r="V321" s="92"/>
      <c r="W321" s="92"/>
      <c r="X321" s="92"/>
      <c r="Y321" s="92"/>
      <c r="Z321" s="92"/>
      <c r="AA321" s="92"/>
      <c r="AB321" s="92"/>
      <c r="AC321" s="92"/>
      <c r="AD321" s="92"/>
      <c r="AE321" s="92"/>
    </row>
    <row r="322" spans="1:31" s="26" customFormat="1">
      <c r="A322" s="145"/>
      <c r="B322" s="133"/>
      <c r="C322" s="92"/>
      <c r="D322" s="92"/>
      <c r="E322" s="92"/>
      <c r="F322" s="92"/>
      <c r="G322" s="92"/>
      <c r="H322" s="92"/>
      <c r="I322" s="92"/>
      <c r="J322" s="92"/>
      <c r="K322" s="92"/>
      <c r="L322" s="92"/>
      <c r="M322" s="92"/>
      <c r="N322" s="92"/>
      <c r="O322" s="92"/>
      <c r="P322" s="92"/>
      <c r="Q322" s="92"/>
      <c r="R322" s="92"/>
      <c r="T322" s="92"/>
      <c r="U322" s="92"/>
      <c r="V322" s="92"/>
      <c r="W322" s="92"/>
      <c r="X322" s="92"/>
      <c r="Y322" s="92"/>
      <c r="Z322" s="92"/>
      <c r="AA322" s="92"/>
      <c r="AB322" s="92"/>
      <c r="AC322" s="92"/>
      <c r="AD322" s="92"/>
      <c r="AE322" s="92"/>
    </row>
    <row r="323" spans="1:31" s="26" customFormat="1">
      <c r="A323" s="145"/>
      <c r="B323" s="133"/>
      <c r="C323" s="92"/>
      <c r="D323" s="92"/>
      <c r="E323" s="92"/>
      <c r="F323" s="92"/>
      <c r="G323" s="92"/>
      <c r="H323" s="92"/>
      <c r="I323" s="92"/>
      <c r="J323" s="92"/>
      <c r="K323" s="92"/>
      <c r="L323" s="92"/>
      <c r="M323" s="92"/>
      <c r="N323" s="92"/>
      <c r="O323" s="92"/>
      <c r="P323" s="92"/>
      <c r="Q323" s="92"/>
      <c r="R323" s="92"/>
      <c r="T323" s="92"/>
      <c r="U323" s="92"/>
      <c r="V323" s="92"/>
      <c r="W323" s="92"/>
      <c r="X323" s="92"/>
      <c r="Y323" s="92"/>
      <c r="Z323" s="92"/>
      <c r="AA323" s="92"/>
      <c r="AB323" s="92"/>
      <c r="AC323" s="92"/>
      <c r="AD323" s="92"/>
      <c r="AE323" s="92"/>
    </row>
    <row r="324" spans="1:31" s="26" customFormat="1">
      <c r="A324" s="145"/>
      <c r="B324" s="133"/>
      <c r="C324" s="92"/>
      <c r="D324" s="92"/>
      <c r="E324" s="92"/>
      <c r="F324" s="92"/>
      <c r="G324" s="92"/>
      <c r="H324" s="92"/>
      <c r="I324" s="92"/>
      <c r="J324" s="92"/>
      <c r="K324" s="92"/>
      <c r="L324" s="92"/>
      <c r="M324" s="92"/>
      <c r="N324" s="92"/>
      <c r="O324" s="92"/>
      <c r="P324" s="92"/>
      <c r="Q324" s="92"/>
      <c r="R324" s="92"/>
      <c r="T324" s="92"/>
      <c r="U324" s="92"/>
      <c r="V324" s="92"/>
      <c r="W324" s="92"/>
      <c r="X324" s="92"/>
      <c r="Y324" s="92"/>
      <c r="Z324" s="92"/>
      <c r="AA324" s="92"/>
      <c r="AB324" s="92"/>
      <c r="AC324" s="92"/>
      <c r="AD324" s="92"/>
      <c r="AE324" s="92"/>
    </row>
    <row r="325" spans="1:31" s="26" customFormat="1">
      <c r="A325" s="145"/>
      <c r="B325" s="133"/>
      <c r="C325" s="92"/>
      <c r="D325" s="92"/>
      <c r="E325" s="92"/>
      <c r="F325" s="92"/>
      <c r="G325" s="92"/>
      <c r="H325" s="92"/>
      <c r="I325" s="92"/>
      <c r="J325" s="92"/>
      <c r="K325" s="92"/>
      <c r="L325" s="92"/>
      <c r="M325" s="92"/>
      <c r="N325" s="92"/>
      <c r="O325" s="92"/>
      <c r="P325" s="92"/>
      <c r="Q325" s="92"/>
      <c r="R325" s="92"/>
      <c r="T325" s="92"/>
      <c r="U325" s="92"/>
      <c r="V325" s="92"/>
      <c r="W325" s="92"/>
      <c r="X325" s="92"/>
      <c r="Y325" s="92"/>
      <c r="Z325" s="92"/>
      <c r="AA325" s="92"/>
      <c r="AB325" s="92"/>
      <c r="AC325" s="92"/>
      <c r="AD325" s="92"/>
      <c r="AE325" s="92"/>
    </row>
    <row r="326" spans="1:31" s="26" customFormat="1">
      <c r="A326" s="145"/>
      <c r="B326" s="133"/>
      <c r="C326" s="92"/>
      <c r="D326" s="92"/>
      <c r="E326" s="92"/>
      <c r="F326" s="92"/>
      <c r="G326" s="92"/>
      <c r="H326" s="92"/>
      <c r="I326" s="92"/>
      <c r="J326" s="92"/>
      <c r="K326" s="92"/>
      <c r="L326" s="92"/>
      <c r="M326" s="92"/>
      <c r="N326" s="92"/>
      <c r="O326" s="92"/>
      <c r="P326" s="92"/>
      <c r="Q326" s="92"/>
      <c r="R326" s="92"/>
      <c r="T326" s="92"/>
      <c r="U326" s="92"/>
      <c r="V326" s="92"/>
      <c r="W326" s="92"/>
      <c r="X326" s="92"/>
      <c r="Y326" s="92"/>
      <c r="Z326" s="92"/>
      <c r="AA326" s="92"/>
      <c r="AB326" s="92"/>
      <c r="AC326" s="92"/>
      <c r="AD326" s="92"/>
      <c r="AE326" s="92"/>
    </row>
    <row r="327" spans="1:31" s="26" customFormat="1">
      <c r="A327" s="145"/>
      <c r="B327" s="133"/>
      <c r="C327" s="92"/>
      <c r="D327" s="92"/>
      <c r="E327" s="92"/>
      <c r="F327" s="92"/>
      <c r="G327" s="92"/>
      <c r="H327" s="92"/>
      <c r="I327" s="92"/>
      <c r="J327" s="92"/>
      <c r="K327" s="92"/>
      <c r="L327" s="92"/>
      <c r="M327" s="92"/>
      <c r="N327" s="92"/>
      <c r="O327" s="92"/>
      <c r="P327" s="92"/>
      <c r="Q327" s="92"/>
      <c r="R327" s="92"/>
      <c r="T327" s="92"/>
      <c r="U327" s="92"/>
      <c r="V327" s="92"/>
      <c r="W327" s="92"/>
      <c r="X327" s="92"/>
      <c r="Y327" s="92"/>
      <c r="Z327" s="92"/>
      <c r="AA327" s="92"/>
      <c r="AB327" s="92"/>
      <c r="AC327" s="92"/>
      <c r="AD327" s="92"/>
      <c r="AE327" s="92"/>
    </row>
    <row r="328" spans="1:31" s="26" customFormat="1">
      <c r="A328" s="145"/>
      <c r="B328" s="133"/>
      <c r="C328" s="92"/>
      <c r="D328" s="92"/>
      <c r="E328" s="92"/>
      <c r="F328" s="92"/>
      <c r="G328" s="92"/>
      <c r="H328" s="92"/>
      <c r="I328" s="92"/>
      <c r="J328" s="92"/>
      <c r="K328" s="92"/>
      <c r="L328" s="92"/>
      <c r="M328" s="92"/>
      <c r="N328" s="92"/>
      <c r="O328" s="92"/>
      <c r="P328" s="92"/>
      <c r="Q328" s="92"/>
      <c r="R328" s="92"/>
      <c r="T328" s="92"/>
      <c r="U328" s="92"/>
      <c r="V328" s="92"/>
      <c r="W328" s="92"/>
      <c r="X328" s="92"/>
      <c r="Y328" s="92"/>
      <c r="Z328" s="92"/>
      <c r="AA328" s="92"/>
      <c r="AB328" s="92"/>
      <c r="AC328" s="92"/>
      <c r="AD328" s="92"/>
      <c r="AE328" s="92"/>
    </row>
    <row r="329" spans="1:31" s="26" customFormat="1">
      <c r="A329" s="145"/>
      <c r="B329" s="133"/>
      <c r="C329" s="92"/>
      <c r="D329" s="92"/>
      <c r="E329" s="92"/>
      <c r="F329" s="92"/>
      <c r="G329" s="92"/>
      <c r="H329" s="92"/>
      <c r="I329" s="92"/>
      <c r="J329" s="92"/>
      <c r="K329" s="92"/>
      <c r="L329" s="92"/>
      <c r="M329" s="92"/>
      <c r="N329" s="92"/>
      <c r="O329" s="92"/>
      <c r="P329" s="92"/>
      <c r="Q329" s="92"/>
      <c r="R329" s="92"/>
      <c r="T329" s="92"/>
      <c r="U329" s="92"/>
      <c r="V329" s="92"/>
      <c r="W329" s="92"/>
      <c r="X329" s="92"/>
      <c r="Y329" s="92"/>
      <c r="Z329" s="92"/>
      <c r="AA329" s="92"/>
      <c r="AB329" s="92"/>
      <c r="AC329" s="92"/>
      <c r="AD329" s="92"/>
      <c r="AE329" s="92"/>
    </row>
    <row r="330" spans="1:31" s="26" customFormat="1">
      <c r="A330" s="145"/>
      <c r="B330" s="133"/>
      <c r="C330" s="92"/>
      <c r="D330" s="92"/>
      <c r="E330" s="92"/>
      <c r="F330" s="92"/>
      <c r="G330" s="92"/>
      <c r="H330" s="92"/>
      <c r="I330" s="92"/>
      <c r="J330" s="92"/>
      <c r="K330" s="92"/>
      <c r="L330" s="92"/>
      <c r="M330" s="92"/>
      <c r="N330" s="92"/>
      <c r="O330" s="92"/>
      <c r="P330" s="92"/>
      <c r="Q330" s="92"/>
      <c r="R330" s="92"/>
      <c r="T330" s="92"/>
      <c r="U330" s="92"/>
      <c r="V330" s="92"/>
      <c r="W330" s="92"/>
      <c r="X330" s="92"/>
      <c r="Y330" s="92"/>
      <c r="Z330" s="92"/>
      <c r="AA330" s="92"/>
      <c r="AB330" s="92"/>
      <c r="AC330" s="92"/>
      <c r="AD330" s="92"/>
      <c r="AE330" s="92"/>
    </row>
    <row r="331" spans="1:31" s="26" customFormat="1">
      <c r="A331" s="145"/>
      <c r="B331" s="133"/>
      <c r="C331" s="92"/>
      <c r="D331" s="92"/>
      <c r="E331" s="92"/>
      <c r="F331" s="92"/>
      <c r="G331" s="92"/>
      <c r="H331" s="92"/>
      <c r="I331" s="92"/>
      <c r="J331" s="92"/>
      <c r="K331" s="92"/>
      <c r="L331" s="92"/>
      <c r="M331" s="92"/>
      <c r="N331" s="92"/>
      <c r="O331" s="92"/>
      <c r="P331" s="92"/>
      <c r="Q331" s="92"/>
      <c r="R331" s="92"/>
      <c r="T331" s="92"/>
      <c r="U331" s="92"/>
      <c r="V331" s="92"/>
      <c r="W331" s="92"/>
      <c r="X331" s="92"/>
      <c r="Y331" s="92"/>
      <c r="Z331" s="92"/>
      <c r="AA331" s="92"/>
      <c r="AB331" s="92"/>
      <c r="AC331" s="92"/>
      <c r="AD331" s="92"/>
      <c r="AE331" s="92"/>
    </row>
    <row r="332" spans="1:31" s="26" customFormat="1">
      <c r="A332" s="145"/>
      <c r="B332" s="133"/>
      <c r="C332" s="92"/>
      <c r="D332" s="92"/>
      <c r="E332" s="92"/>
      <c r="F332" s="92"/>
      <c r="G332" s="92"/>
      <c r="H332" s="92"/>
      <c r="I332" s="92"/>
      <c r="J332" s="92"/>
      <c r="K332" s="92"/>
      <c r="L332" s="92"/>
      <c r="M332" s="92"/>
      <c r="N332" s="92"/>
      <c r="O332" s="92"/>
      <c r="P332" s="92"/>
      <c r="Q332" s="92"/>
      <c r="R332" s="92"/>
      <c r="T332" s="92"/>
      <c r="U332" s="92"/>
      <c r="V332" s="92"/>
      <c r="W332" s="92"/>
      <c r="X332" s="92"/>
      <c r="Y332" s="92"/>
      <c r="Z332" s="92"/>
      <c r="AA332" s="92"/>
      <c r="AB332" s="92"/>
      <c r="AC332" s="92"/>
      <c r="AD332" s="92"/>
      <c r="AE332" s="92"/>
    </row>
    <row r="333" spans="1:31" s="26" customFormat="1">
      <c r="A333" s="145"/>
      <c r="B333" s="133"/>
      <c r="C333" s="92"/>
      <c r="D333" s="92"/>
      <c r="E333" s="92"/>
      <c r="F333" s="92"/>
      <c r="G333" s="92"/>
      <c r="H333" s="92"/>
      <c r="I333" s="92"/>
      <c r="J333" s="92"/>
      <c r="K333" s="92"/>
      <c r="L333" s="92"/>
      <c r="M333" s="92"/>
      <c r="N333" s="92"/>
      <c r="O333" s="92"/>
      <c r="P333" s="92"/>
      <c r="Q333" s="92"/>
      <c r="R333" s="92"/>
      <c r="T333" s="92"/>
      <c r="U333" s="92"/>
      <c r="V333" s="92"/>
      <c r="W333" s="92"/>
      <c r="X333" s="92"/>
      <c r="Y333" s="92"/>
      <c r="Z333" s="92"/>
      <c r="AA333" s="92"/>
      <c r="AB333" s="92"/>
      <c r="AC333" s="92"/>
      <c r="AD333" s="92"/>
      <c r="AE333" s="92"/>
    </row>
    <row r="334" spans="1:31" s="26" customFormat="1">
      <c r="A334" s="145"/>
      <c r="B334" s="133"/>
      <c r="C334" s="92"/>
      <c r="D334" s="92"/>
      <c r="E334" s="92"/>
      <c r="F334" s="92"/>
      <c r="G334" s="92"/>
      <c r="H334" s="92"/>
      <c r="I334" s="92"/>
      <c r="J334" s="92"/>
      <c r="K334" s="92"/>
      <c r="L334" s="92"/>
      <c r="M334" s="92"/>
      <c r="N334" s="92"/>
      <c r="O334" s="92"/>
      <c r="P334" s="92"/>
      <c r="Q334" s="92"/>
      <c r="R334" s="92"/>
      <c r="T334" s="92"/>
      <c r="U334" s="92"/>
      <c r="V334" s="92"/>
      <c r="W334" s="92"/>
      <c r="X334" s="92"/>
      <c r="Y334" s="92"/>
      <c r="Z334" s="92"/>
      <c r="AA334" s="92"/>
      <c r="AB334" s="92"/>
      <c r="AC334" s="92"/>
      <c r="AD334" s="92"/>
      <c r="AE334" s="92"/>
    </row>
    <row r="335" spans="1:31" s="26" customFormat="1">
      <c r="A335" s="145"/>
      <c r="B335" s="133"/>
      <c r="C335" s="92"/>
      <c r="D335" s="92"/>
      <c r="E335" s="92"/>
      <c r="F335" s="92"/>
      <c r="G335" s="92"/>
      <c r="H335" s="92"/>
      <c r="I335" s="92"/>
      <c r="J335" s="92"/>
      <c r="K335" s="92"/>
      <c r="L335" s="92"/>
      <c r="M335" s="92"/>
      <c r="N335" s="92"/>
      <c r="O335" s="92"/>
      <c r="P335" s="92"/>
      <c r="Q335" s="92"/>
      <c r="R335" s="92"/>
      <c r="T335" s="92"/>
      <c r="U335" s="92"/>
      <c r="V335" s="92"/>
      <c r="W335" s="92"/>
      <c r="X335" s="92"/>
      <c r="Y335" s="92"/>
      <c r="Z335" s="92"/>
      <c r="AA335" s="92"/>
      <c r="AB335" s="92"/>
      <c r="AC335" s="92"/>
      <c r="AD335" s="92"/>
      <c r="AE335" s="92"/>
    </row>
    <row r="336" spans="1:31" s="26" customFormat="1">
      <c r="A336" s="145"/>
      <c r="B336" s="133"/>
      <c r="C336" s="92"/>
      <c r="D336" s="92"/>
      <c r="E336" s="92"/>
      <c r="F336" s="92"/>
      <c r="G336" s="92"/>
      <c r="H336" s="92"/>
      <c r="I336" s="92"/>
      <c r="J336" s="92"/>
      <c r="K336" s="92"/>
      <c r="L336" s="92"/>
      <c r="M336" s="92"/>
      <c r="N336" s="92"/>
      <c r="O336" s="92"/>
      <c r="P336" s="92"/>
      <c r="Q336" s="92"/>
      <c r="R336" s="92"/>
      <c r="T336" s="92"/>
      <c r="U336" s="92"/>
      <c r="V336" s="92"/>
      <c r="W336" s="92"/>
      <c r="X336" s="92"/>
      <c r="Y336" s="92"/>
      <c r="Z336" s="92"/>
      <c r="AA336" s="92"/>
      <c r="AB336" s="92"/>
      <c r="AC336" s="92"/>
      <c r="AD336" s="92"/>
      <c r="AE336" s="92"/>
    </row>
    <row r="337" spans="1:31" s="26" customFormat="1">
      <c r="A337" s="145"/>
      <c r="B337" s="133"/>
      <c r="C337" s="92"/>
      <c r="D337" s="92"/>
      <c r="E337" s="92"/>
      <c r="F337" s="92"/>
      <c r="G337" s="92"/>
      <c r="H337" s="92"/>
      <c r="I337" s="92"/>
      <c r="J337" s="92"/>
      <c r="K337" s="92"/>
      <c r="L337" s="92"/>
      <c r="M337" s="92"/>
      <c r="N337" s="92"/>
      <c r="O337" s="92"/>
      <c r="P337" s="92"/>
      <c r="Q337" s="92"/>
      <c r="R337" s="92"/>
      <c r="T337" s="92"/>
      <c r="U337" s="92"/>
      <c r="V337" s="92"/>
      <c r="W337" s="92"/>
      <c r="X337" s="92"/>
      <c r="Y337" s="92"/>
      <c r="Z337" s="92"/>
      <c r="AA337" s="92"/>
      <c r="AB337" s="92"/>
      <c r="AC337" s="92"/>
      <c r="AD337" s="92"/>
      <c r="AE337" s="92"/>
    </row>
    <row r="338" spans="1:31" s="26" customFormat="1">
      <c r="A338" s="145"/>
      <c r="B338" s="133"/>
      <c r="C338" s="92"/>
      <c r="D338" s="92"/>
      <c r="E338" s="92"/>
      <c r="F338" s="92"/>
      <c r="G338" s="92"/>
      <c r="H338" s="92"/>
      <c r="I338" s="92"/>
      <c r="J338" s="92"/>
      <c r="K338" s="92"/>
      <c r="L338" s="92"/>
      <c r="M338" s="92"/>
      <c r="N338" s="92"/>
      <c r="O338" s="92"/>
      <c r="P338" s="92"/>
      <c r="Q338" s="92"/>
      <c r="R338" s="92"/>
      <c r="T338" s="92"/>
      <c r="U338" s="92"/>
      <c r="V338" s="92"/>
      <c r="W338" s="92"/>
      <c r="X338" s="92"/>
      <c r="Y338" s="92"/>
      <c r="Z338" s="92"/>
      <c r="AA338" s="92"/>
      <c r="AB338" s="92"/>
      <c r="AC338" s="92"/>
      <c r="AD338" s="92"/>
      <c r="AE338" s="92"/>
    </row>
    <row r="339" spans="1:31" s="26" customFormat="1">
      <c r="A339" s="145"/>
      <c r="B339" s="133"/>
      <c r="C339" s="92"/>
      <c r="D339" s="92"/>
      <c r="E339" s="92"/>
      <c r="F339" s="92"/>
      <c r="G339" s="92"/>
      <c r="H339" s="92"/>
      <c r="I339" s="92"/>
      <c r="J339" s="92"/>
      <c r="K339" s="92"/>
      <c r="L339" s="92"/>
      <c r="M339" s="92"/>
      <c r="N339" s="92"/>
      <c r="O339" s="92"/>
      <c r="P339" s="92"/>
      <c r="Q339" s="92"/>
      <c r="R339" s="92"/>
      <c r="T339" s="92"/>
      <c r="U339" s="92"/>
      <c r="V339" s="92"/>
      <c r="W339" s="92"/>
      <c r="X339" s="92"/>
      <c r="Y339" s="92"/>
      <c r="Z339" s="92"/>
      <c r="AA339" s="92"/>
      <c r="AB339" s="92"/>
      <c r="AC339" s="92"/>
      <c r="AD339" s="92"/>
      <c r="AE339" s="92"/>
    </row>
    <row r="340" spans="1:31" s="26" customFormat="1">
      <c r="A340" s="145"/>
      <c r="B340" s="133"/>
      <c r="C340" s="92"/>
      <c r="D340" s="92"/>
      <c r="E340" s="92"/>
      <c r="F340" s="92"/>
      <c r="G340" s="92"/>
      <c r="H340" s="92"/>
      <c r="I340" s="92"/>
      <c r="J340" s="92"/>
      <c r="K340" s="92"/>
      <c r="L340" s="92"/>
      <c r="M340" s="92"/>
      <c r="N340" s="92"/>
      <c r="O340" s="92"/>
      <c r="P340" s="92"/>
      <c r="Q340" s="92"/>
      <c r="R340" s="92"/>
      <c r="T340" s="92"/>
      <c r="U340" s="92"/>
      <c r="V340" s="92"/>
      <c r="W340" s="92"/>
      <c r="X340" s="92"/>
      <c r="Y340" s="92"/>
      <c r="Z340" s="92"/>
      <c r="AA340" s="92"/>
      <c r="AB340" s="92"/>
      <c r="AC340" s="92"/>
      <c r="AD340" s="92"/>
      <c r="AE340" s="92"/>
    </row>
    <row r="341" spans="1:31" s="26" customFormat="1">
      <c r="A341" s="145"/>
      <c r="B341" s="133"/>
      <c r="C341" s="92"/>
      <c r="D341" s="92"/>
      <c r="E341" s="92"/>
      <c r="F341" s="92"/>
      <c r="G341" s="92"/>
      <c r="H341" s="92"/>
      <c r="I341" s="92"/>
      <c r="J341" s="92"/>
      <c r="K341" s="92"/>
      <c r="L341" s="92"/>
      <c r="M341" s="92"/>
      <c r="N341" s="92"/>
      <c r="O341" s="92"/>
      <c r="P341" s="92"/>
      <c r="Q341" s="92"/>
      <c r="R341" s="92"/>
      <c r="T341" s="92"/>
      <c r="U341" s="92"/>
      <c r="V341" s="92"/>
      <c r="W341" s="92"/>
      <c r="X341" s="92"/>
      <c r="Y341" s="92"/>
      <c r="Z341" s="92"/>
      <c r="AA341" s="92"/>
      <c r="AB341" s="92"/>
      <c r="AC341" s="92"/>
      <c r="AD341" s="92"/>
      <c r="AE341" s="92"/>
    </row>
    <row r="342" spans="1:31" s="26" customFormat="1">
      <c r="A342" s="145"/>
      <c r="B342" s="133"/>
      <c r="C342" s="92"/>
      <c r="D342" s="92"/>
      <c r="E342" s="92"/>
      <c r="F342" s="92"/>
      <c r="G342" s="92"/>
      <c r="H342" s="92"/>
      <c r="I342" s="92"/>
      <c r="J342" s="92"/>
      <c r="K342" s="92"/>
      <c r="L342" s="92"/>
      <c r="M342" s="92"/>
      <c r="N342" s="92"/>
      <c r="O342" s="92"/>
      <c r="P342" s="92"/>
      <c r="Q342" s="92"/>
      <c r="R342" s="92"/>
      <c r="T342" s="92"/>
      <c r="U342" s="92"/>
      <c r="V342" s="92"/>
      <c r="W342" s="92"/>
      <c r="X342" s="92"/>
      <c r="Y342" s="92"/>
      <c r="Z342" s="92"/>
      <c r="AA342" s="92"/>
      <c r="AB342" s="92"/>
      <c r="AC342" s="92"/>
      <c r="AD342" s="92"/>
      <c r="AE342" s="92"/>
    </row>
    <row r="343" spans="1:31" s="26" customFormat="1">
      <c r="A343" s="145"/>
      <c r="B343" s="133"/>
      <c r="C343" s="92"/>
      <c r="D343" s="92"/>
      <c r="E343" s="92"/>
      <c r="F343" s="92"/>
      <c r="G343" s="92"/>
      <c r="H343" s="92"/>
      <c r="I343" s="92"/>
      <c r="J343" s="92"/>
      <c r="K343" s="92"/>
      <c r="L343" s="92"/>
      <c r="M343" s="92"/>
      <c r="N343" s="92"/>
      <c r="O343" s="92"/>
      <c r="P343" s="92"/>
      <c r="Q343" s="92"/>
      <c r="R343" s="92"/>
      <c r="T343" s="92"/>
      <c r="U343" s="92"/>
      <c r="V343" s="92"/>
      <c r="W343" s="92"/>
      <c r="X343" s="92"/>
      <c r="Y343" s="92"/>
      <c r="Z343" s="92"/>
      <c r="AA343" s="92"/>
      <c r="AB343" s="92"/>
      <c r="AC343" s="92"/>
      <c r="AD343" s="92"/>
      <c r="AE343" s="92"/>
    </row>
    <row r="344" spans="1:31" s="26" customFormat="1">
      <c r="A344" s="145"/>
      <c r="B344" s="133"/>
      <c r="C344" s="92"/>
      <c r="D344" s="92"/>
      <c r="E344" s="92"/>
      <c r="F344" s="92"/>
      <c r="G344" s="92"/>
      <c r="H344" s="92"/>
      <c r="I344" s="92"/>
      <c r="J344" s="92"/>
      <c r="K344" s="92"/>
      <c r="L344" s="92"/>
      <c r="M344" s="92"/>
      <c r="N344" s="92"/>
      <c r="O344" s="92"/>
      <c r="P344" s="92"/>
      <c r="Q344" s="92"/>
      <c r="R344" s="92"/>
      <c r="T344" s="92"/>
      <c r="U344" s="92"/>
      <c r="V344" s="92"/>
      <c r="W344" s="92"/>
      <c r="X344" s="92"/>
      <c r="Y344" s="92"/>
      <c r="Z344" s="92"/>
      <c r="AA344" s="92"/>
      <c r="AB344" s="92"/>
      <c r="AC344" s="92"/>
      <c r="AD344" s="92"/>
      <c r="AE344" s="92"/>
    </row>
    <row r="345" spans="1:31" s="26" customFormat="1">
      <c r="A345" s="145"/>
      <c r="B345" s="133"/>
      <c r="C345" s="92"/>
      <c r="D345" s="92"/>
      <c r="E345" s="92"/>
      <c r="F345" s="92"/>
      <c r="G345" s="92"/>
      <c r="H345" s="92"/>
      <c r="I345" s="92"/>
      <c r="J345" s="92"/>
      <c r="K345" s="92"/>
      <c r="L345" s="92"/>
      <c r="M345" s="92"/>
      <c r="N345" s="92"/>
      <c r="O345" s="92"/>
      <c r="P345" s="92"/>
      <c r="Q345" s="92"/>
      <c r="R345" s="92"/>
      <c r="T345" s="92"/>
      <c r="U345" s="92"/>
      <c r="V345" s="92"/>
      <c r="W345" s="92"/>
      <c r="X345" s="92"/>
      <c r="Y345" s="92"/>
      <c r="Z345" s="92"/>
      <c r="AA345" s="92"/>
      <c r="AB345" s="92"/>
      <c r="AC345" s="92"/>
      <c r="AD345" s="92"/>
      <c r="AE345" s="92"/>
    </row>
    <row r="346" spans="1:31" s="26" customFormat="1">
      <c r="A346" s="145"/>
      <c r="B346" s="133"/>
      <c r="C346" s="92"/>
      <c r="D346" s="92"/>
      <c r="E346" s="92"/>
      <c r="F346" s="92"/>
      <c r="G346" s="92"/>
      <c r="H346" s="92"/>
      <c r="I346" s="92"/>
      <c r="J346" s="92"/>
      <c r="K346" s="92"/>
      <c r="L346" s="92"/>
      <c r="M346" s="92"/>
      <c r="N346" s="92"/>
      <c r="O346" s="92"/>
      <c r="P346" s="92"/>
      <c r="Q346" s="92"/>
      <c r="R346" s="92"/>
      <c r="T346" s="92"/>
      <c r="U346" s="92"/>
      <c r="V346" s="92"/>
      <c r="W346" s="92"/>
      <c r="X346" s="92"/>
      <c r="Y346" s="92"/>
      <c r="Z346" s="92"/>
      <c r="AA346" s="92"/>
      <c r="AB346" s="92"/>
      <c r="AC346" s="92"/>
      <c r="AD346" s="92"/>
      <c r="AE346" s="92"/>
    </row>
    <row r="347" spans="1:31" s="26" customFormat="1">
      <c r="A347" s="145"/>
      <c r="B347" s="133"/>
      <c r="C347" s="92"/>
      <c r="D347" s="92"/>
      <c r="E347" s="92"/>
      <c r="F347" s="92"/>
      <c r="G347" s="92"/>
      <c r="H347" s="92"/>
      <c r="I347" s="92"/>
      <c r="J347" s="92"/>
      <c r="K347" s="92"/>
      <c r="L347" s="92"/>
      <c r="M347" s="92"/>
      <c r="N347" s="92"/>
      <c r="O347" s="92"/>
      <c r="P347" s="92"/>
      <c r="Q347" s="92"/>
      <c r="R347" s="92"/>
      <c r="T347" s="92"/>
      <c r="U347" s="92"/>
      <c r="V347" s="92"/>
      <c r="W347" s="92"/>
      <c r="X347" s="92"/>
      <c r="Y347" s="92"/>
      <c r="Z347" s="92"/>
      <c r="AA347" s="92"/>
      <c r="AB347" s="92"/>
      <c r="AC347" s="92"/>
      <c r="AD347" s="92"/>
      <c r="AE347" s="92"/>
    </row>
    <row r="348" spans="1:31" s="26" customFormat="1">
      <c r="A348" s="145"/>
      <c r="B348" s="133"/>
      <c r="C348" s="92"/>
      <c r="D348" s="92"/>
      <c r="E348" s="92"/>
      <c r="F348" s="92"/>
      <c r="G348" s="92"/>
      <c r="H348" s="92"/>
      <c r="I348" s="92"/>
      <c r="J348" s="92"/>
      <c r="K348" s="92"/>
      <c r="L348" s="92"/>
      <c r="M348" s="92"/>
      <c r="N348" s="92"/>
      <c r="O348" s="92"/>
      <c r="P348" s="92"/>
      <c r="Q348" s="92"/>
      <c r="R348" s="92"/>
      <c r="T348" s="92"/>
      <c r="U348" s="92"/>
      <c r="V348" s="92"/>
      <c r="W348" s="92"/>
      <c r="X348" s="92"/>
      <c r="Y348" s="92"/>
      <c r="Z348" s="92"/>
      <c r="AA348" s="92"/>
      <c r="AB348" s="92"/>
      <c r="AC348" s="92"/>
      <c r="AD348" s="92"/>
      <c r="AE348" s="92"/>
    </row>
    <row r="349" spans="1:31" s="26" customFormat="1">
      <c r="A349" s="145"/>
      <c r="B349" s="133"/>
      <c r="C349" s="92"/>
      <c r="D349" s="92"/>
      <c r="E349" s="92"/>
      <c r="F349" s="92"/>
      <c r="G349" s="92"/>
      <c r="H349" s="92"/>
      <c r="I349" s="92"/>
      <c r="J349" s="92"/>
      <c r="K349" s="92"/>
      <c r="L349" s="92"/>
      <c r="M349" s="92"/>
      <c r="N349" s="92"/>
      <c r="O349" s="92"/>
      <c r="P349" s="92"/>
      <c r="Q349" s="92"/>
      <c r="R349" s="92"/>
      <c r="T349" s="92"/>
      <c r="U349" s="92"/>
      <c r="V349" s="92"/>
      <c r="W349" s="92"/>
      <c r="X349" s="92"/>
      <c r="Y349" s="92"/>
      <c r="Z349" s="92"/>
      <c r="AA349" s="92"/>
      <c r="AB349" s="92"/>
      <c r="AC349" s="92"/>
      <c r="AD349" s="92"/>
      <c r="AE349" s="92"/>
    </row>
    <row r="350" spans="1:31" s="26" customFormat="1">
      <c r="A350" s="145"/>
      <c r="B350" s="133"/>
      <c r="C350" s="92"/>
      <c r="D350" s="92"/>
      <c r="E350" s="92"/>
      <c r="F350" s="92"/>
      <c r="G350" s="92"/>
      <c r="H350" s="92"/>
      <c r="I350" s="92"/>
      <c r="J350" s="92"/>
      <c r="K350" s="92"/>
      <c r="L350" s="92"/>
      <c r="M350" s="92"/>
      <c r="N350" s="92"/>
      <c r="O350" s="92"/>
      <c r="P350" s="92"/>
      <c r="Q350" s="92"/>
      <c r="R350" s="92"/>
      <c r="T350" s="92"/>
      <c r="U350" s="92"/>
      <c r="V350" s="92"/>
      <c r="W350" s="92"/>
      <c r="X350" s="92"/>
      <c r="Y350" s="92"/>
      <c r="Z350" s="92"/>
      <c r="AA350" s="92"/>
      <c r="AB350" s="92"/>
      <c r="AC350" s="92"/>
      <c r="AD350" s="92"/>
      <c r="AE350" s="92"/>
    </row>
    <row r="351" spans="1:31" s="26" customFormat="1">
      <c r="A351" s="145"/>
      <c r="B351" s="133"/>
      <c r="C351" s="92"/>
      <c r="D351" s="92"/>
      <c r="E351" s="92"/>
      <c r="F351" s="92"/>
      <c r="G351" s="92"/>
      <c r="H351" s="92"/>
      <c r="I351" s="92"/>
      <c r="J351" s="92"/>
      <c r="K351" s="92"/>
      <c r="L351" s="92"/>
      <c r="M351" s="92"/>
      <c r="N351" s="92"/>
      <c r="O351" s="92"/>
      <c r="P351" s="92"/>
      <c r="Q351" s="92"/>
      <c r="R351" s="92"/>
      <c r="T351" s="92"/>
      <c r="U351" s="92"/>
      <c r="V351" s="92"/>
      <c r="W351" s="92"/>
      <c r="X351" s="92"/>
      <c r="Y351" s="92"/>
      <c r="Z351" s="92"/>
      <c r="AA351" s="92"/>
      <c r="AB351" s="92"/>
      <c r="AC351" s="92"/>
      <c r="AD351" s="92"/>
      <c r="AE351" s="92"/>
    </row>
    <row r="352" spans="1:31" s="26" customFormat="1">
      <c r="A352" s="145"/>
      <c r="B352" s="133"/>
      <c r="C352" s="92"/>
      <c r="D352" s="92"/>
      <c r="E352" s="92"/>
      <c r="F352" s="92"/>
      <c r="G352" s="92"/>
      <c r="H352" s="92"/>
      <c r="I352" s="92"/>
      <c r="J352" s="92"/>
      <c r="K352" s="92"/>
      <c r="L352" s="92"/>
      <c r="M352" s="92"/>
      <c r="N352" s="92"/>
      <c r="O352" s="92"/>
      <c r="P352" s="92"/>
      <c r="Q352" s="92"/>
      <c r="R352" s="92"/>
      <c r="T352" s="92"/>
      <c r="U352" s="92"/>
      <c r="V352" s="92"/>
      <c r="W352" s="92"/>
      <c r="X352" s="92"/>
      <c r="Y352" s="92"/>
      <c r="Z352" s="92"/>
      <c r="AA352" s="92"/>
      <c r="AB352" s="92"/>
      <c r="AC352" s="92"/>
      <c r="AD352" s="92"/>
      <c r="AE352" s="92"/>
    </row>
    <row r="353" spans="1:31" s="26" customFormat="1">
      <c r="A353" s="145"/>
      <c r="B353" s="133"/>
      <c r="C353" s="92"/>
      <c r="D353" s="92"/>
      <c r="E353" s="92"/>
      <c r="F353" s="92"/>
      <c r="G353" s="92"/>
      <c r="H353" s="92"/>
      <c r="I353" s="92"/>
      <c r="J353" s="92"/>
      <c r="K353" s="92"/>
      <c r="L353" s="92"/>
      <c r="M353" s="92"/>
      <c r="N353" s="92"/>
      <c r="O353" s="92"/>
      <c r="P353" s="92"/>
      <c r="Q353" s="92"/>
      <c r="R353" s="92"/>
      <c r="T353" s="92"/>
      <c r="U353" s="92"/>
      <c r="V353" s="92"/>
      <c r="W353" s="92"/>
      <c r="X353" s="92"/>
      <c r="Y353" s="92"/>
      <c r="Z353" s="92"/>
      <c r="AA353" s="92"/>
      <c r="AB353" s="92"/>
      <c r="AC353" s="92"/>
      <c r="AD353" s="92"/>
      <c r="AE353" s="92"/>
    </row>
    <row r="354" spans="1:31" s="26" customFormat="1">
      <c r="A354" s="145"/>
      <c r="B354" s="133"/>
      <c r="C354" s="92"/>
      <c r="D354" s="92"/>
      <c r="E354" s="92"/>
      <c r="F354" s="92"/>
      <c r="G354" s="92"/>
      <c r="H354" s="92"/>
      <c r="I354" s="92"/>
      <c r="J354" s="92"/>
      <c r="K354" s="92"/>
      <c r="L354" s="92"/>
      <c r="M354" s="92"/>
      <c r="N354" s="92"/>
      <c r="O354" s="92"/>
      <c r="P354" s="92"/>
      <c r="Q354" s="92"/>
      <c r="R354" s="92"/>
      <c r="T354" s="92"/>
      <c r="U354" s="92"/>
      <c r="V354" s="92"/>
      <c r="W354" s="92"/>
      <c r="X354" s="92"/>
      <c r="Y354" s="92"/>
      <c r="Z354" s="92"/>
      <c r="AA354" s="92"/>
      <c r="AB354" s="92"/>
      <c r="AC354" s="92"/>
      <c r="AD354" s="92"/>
      <c r="AE354" s="92"/>
    </row>
    <row r="355" spans="1:31" s="26" customFormat="1">
      <c r="A355" s="145"/>
      <c r="B355" s="133"/>
      <c r="C355" s="92"/>
      <c r="D355" s="92"/>
      <c r="E355" s="92"/>
      <c r="F355" s="92"/>
      <c r="G355" s="92"/>
      <c r="H355" s="92"/>
      <c r="I355" s="92"/>
      <c r="J355" s="92"/>
      <c r="K355" s="92"/>
      <c r="L355" s="92"/>
      <c r="M355" s="92"/>
      <c r="N355" s="92"/>
      <c r="O355" s="92"/>
      <c r="P355" s="92"/>
      <c r="Q355" s="92"/>
      <c r="R355" s="92"/>
      <c r="T355" s="92"/>
      <c r="U355" s="92"/>
      <c r="V355" s="92"/>
      <c r="W355" s="92"/>
      <c r="X355" s="92"/>
      <c r="Y355" s="92"/>
      <c r="Z355" s="92"/>
      <c r="AA355" s="92"/>
      <c r="AB355" s="92"/>
      <c r="AC355" s="92"/>
      <c r="AD355" s="92"/>
      <c r="AE355" s="92"/>
    </row>
    <row r="356" spans="1:31" s="26" customFormat="1">
      <c r="A356" s="145"/>
      <c r="B356" s="133"/>
      <c r="C356" s="92"/>
      <c r="D356" s="92"/>
      <c r="E356" s="92"/>
      <c r="F356" s="92"/>
      <c r="G356" s="92"/>
      <c r="H356" s="92"/>
      <c r="I356" s="92"/>
      <c r="J356" s="92"/>
      <c r="K356" s="92"/>
      <c r="L356" s="92"/>
      <c r="M356" s="92"/>
      <c r="N356" s="92"/>
      <c r="O356" s="92"/>
      <c r="P356" s="92"/>
      <c r="Q356" s="92"/>
      <c r="R356" s="92"/>
      <c r="T356" s="92"/>
      <c r="U356" s="92"/>
      <c r="V356" s="92"/>
      <c r="W356" s="92"/>
      <c r="X356" s="92"/>
      <c r="Y356" s="92"/>
      <c r="Z356" s="92"/>
      <c r="AA356" s="92"/>
      <c r="AB356" s="92"/>
      <c r="AC356" s="92"/>
      <c r="AD356" s="92"/>
      <c r="AE356" s="92"/>
    </row>
    <row r="357" spans="1:31" s="26" customFormat="1">
      <c r="A357" s="145"/>
      <c r="B357" s="133"/>
      <c r="C357" s="92"/>
      <c r="D357" s="92"/>
      <c r="E357" s="92"/>
      <c r="F357" s="92"/>
      <c r="G357" s="92"/>
      <c r="H357" s="92"/>
      <c r="I357" s="92"/>
      <c r="J357" s="92"/>
      <c r="K357" s="92"/>
      <c r="L357" s="92"/>
      <c r="M357" s="92"/>
      <c r="N357" s="92"/>
      <c r="O357" s="92"/>
      <c r="P357" s="92"/>
      <c r="Q357" s="92"/>
      <c r="R357" s="92"/>
      <c r="T357" s="92"/>
      <c r="U357" s="92"/>
      <c r="V357" s="92"/>
      <c r="W357" s="92"/>
      <c r="X357" s="92"/>
      <c r="Y357" s="92"/>
      <c r="Z357" s="92"/>
      <c r="AA357" s="92"/>
      <c r="AB357" s="92"/>
      <c r="AC357" s="92"/>
      <c r="AD357" s="92"/>
      <c r="AE357" s="92"/>
    </row>
    <row r="358" spans="1:31" s="26" customFormat="1">
      <c r="A358" s="145"/>
      <c r="B358" s="133"/>
      <c r="C358" s="92"/>
      <c r="D358" s="92"/>
      <c r="E358" s="92"/>
      <c r="F358" s="92"/>
      <c r="G358" s="92"/>
      <c r="H358" s="92"/>
      <c r="I358" s="92"/>
      <c r="J358" s="92"/>
      <c r="K358" s="92"/>
      <c r="L358" s="92"/>
      <c r="M358" s="92"/>
      <c r="N358" s="92"/>
      <c r="O358" s="92"/>
      <c r="P358" s="92"/>
      <c r="Q358" s="92"/>
      <c r="R358" s="92"/>
      <c r="T358" s="92"/>
      <c r="U358" s="92"/>
      <c r="V358" s="92"/>
      <c r="W358" s="92"/>
      <c r="X358" s="92"/>
      <c r="Y358" s="92"/>
      <c r="Z358" s="92"/>
      <c r="AA358" s="92"/>
      <c r="AB358" s="92"/>
      <c r="AC358" s="92"/>
      <c r="AD358" s="92"/>
      <c r="AE358" s="92"/>
    </row>
    <row r="359" spans="1:31" s="26" customFormat="1">
      <c r="A359" s="145"/>
      <c r="B359" s="133"/>
      <c r="C359" s="92"/>
      <c r="D359" s="92"/>
      <c r="E359" s="92"/>
      <c r="F359" s="92"/>
      <c r="G359" s="92"/>
      <c r="H359" s="92"/>
      <c r="I359" s="92"/>
      <c r="J359" s="92"/>
      <c r="K359" s="92"/>
      <c r="L359" s="92"/>
      <c r="M359" s="92"/>
      <c r="N359" s="92"/>
      <c r="O359" s="92"/>
      <c r="P359" s="92"/>
      <c r="Q359" s="92"/>
      <c r="R359" s="92"/>
      <c r="T359" s="92"/>
      <c r="U359" s="92"/>
      <c r="V359" s="92"/>
      <c r="W359" s="92"/>
      <c r="X359" s="92"/>
      <c r="Y359" s="92"/>
      <c r="Z359" s="92"/>
      <c r="AA359" s="92"/>
      <c r="AB359" s="92"/>
      <c r="AC359" s="92"/>
      <c r="AD359" s="92"/>
      <c r="AE359" s="92"/>
    </row>
    <row r="360" spans="1:31" s="26" customFormat="1">
      <c r="A360" s="145"/>
      <c r="B360" s="133"/>
      <c r="C360" s="92"/>
      <c r="D360" s="92"/>
      <c r="E360" s="92"/>
      <c r="F360" s="92"/>
      <c r="G360" s="92"/>
      <c r="H360" s="92"/>
      <c r="I360" s="92"/>
      <c r="J360" s="92"/>
      <c r="K360" s="92"/>
      <c r="L360" s="92"/>
      <c r="M360" s="92"/>
      <c r="N360" s="92"/>
      <c r="O360" s="92"/>
      <c r="P360" s="92"/>
      <c r="Q360" s="92"/>
      <c r="R360" s="92"/>
      <c r="T360" s="92"/>
      <c r="U360" s="92"/>
      <c r="V360" s="92"/>
      <c r="W360" s="92"/>
      <c r="X360" s="92"/>
      <c r="Y360" s="92"/>
      <c r="Z360" s="92"/>
      <c r="AA360" s="92"/>
      <c r="AB360" s="92"/>
      <c r="AC360" s="92"/>
      <c r="AD360" s="92"/>
      <c r="AE360" s="92"/>
    </row>
    <row r="361" spans="1:31" s="26" customFormat="1">
      <c r="A361" s="145"/>
      <c r="B361" s="133"/>
      <c r="C361" s="92"/>
      <c r="D361" s="92"/>
      <c r="E361" s="92"/>
      <c r="F361" s="92"/>
      <c r="G361" s="92"/>
      <c r="H361" s="92"/>
      <c r="I361" s="92"/>
      <c r="J361" s="92"/>
      <c r="K361" s="92"/>
      <c r="L361" s="92"/>
      <c r="M361" s="92"/>
      <c r="N361" s="92"/>
      <c r="O361" s="92"/>
      <c r="P361" s="92"/>
      <c r="Q361" s="92"/>
      <c r="R361" s="92"/>
      <c r="T361" s="92"/>
      <c r="U361" s="92"/>
      <c r="V361" s="92"/>
      <c r="W361" s="92"/>
      <c r="X361" s="92"/>
      <c r="Y361" s="92"/>
      <c r="Z361" s="92"/>
      <c r="AA361" s="92"/>
      <c r="AB361" s="92"/>
      <c r="AC361" s="92"/>
      <c r="AD361" s="92"/>
      <c r="AE361" s="92"/>
    </row>
    <row r="362" spans="1:31" s="26" customFormat="1">
      <c r="A362" s="145"/>
      <c r="B362" s="133"/>
      <c r="C362" s="92"/>
      <c r="D362" s="92"/>
      <c r="E362" s="92"/>
      <c r="F362" s="92"/>
      <c r="G362" s="92"/>
      <c r="H362" s="92"/>
      <c r="I362" s="92"/>
      <c r="J362" s="92"/>
      <c r="K362" s="92"/>
      <c r="L362" s="92"/>
      <c r="M362" s="92"/>
      <c r="N362" s="92"/>
      <c r="O362" s="92"/>
      <c r="P362" s="92"/>
      <c r="Q362" s="92"/>
      <c r="R362" s="92"/>
      <c r="T362" s="92"/>
      <c r="U362" s="92"/>
      <c r="V362" s="92"/>
      <c r="W362" s="92"/>
      <c r="X362" s="92"/>
      <c r="Y362" s="92"/>
      <c r="Z362" s="92"/>
      <c r="AA362" s="92"/>
      <c r="AB362" s="92"/>
      <c r="AC362" s="92"/>
      <c r="AD362" s="92"/>
      <c r="AE362" s="92"/>
    </row>
    <row r="363" spans="1:31" s="26" customFormat="1">
      <c r="A363" s="145"/>
      <c r="B363" s="133"/>
      <c r="C363" s="92"/>
      <c r="D363" s="92"/>
      <c r="E363" s="92"/>
      <c r="F363" s="92"/>
      <c r="G363" s="92"/>
      <c r="H363" s="92"/>
      <c r="I363" s="92"/>
      <c r="J363" s="92"/>
      <c r="K363" s="92"/>
      <c r="L363" s="92"/>
      <c r="M363" s="92"/>
      <c r="N363" s="92"/>
      <c r="O363" s="92"/>
      <c r="P363" s="92"/>
      <c r="Q363" s="92"/>
      <c r="R363" s="92"/>
      <c r="T363" s="92"/>
      <c r="U363" s="92"/>
      <c r="V363" s="92"/>
      <c r="W363" s="92"/>
      <c r="X363" s="92"/>
      <c r="Y363" s="92"/>
      <c r="Z363" s="92"/>
      <c r="AA363" s="92"/>
      <c r="AB363" s="92"/>
      <c r="AC363" s="92"/>
      <c r="AD363" s="92"/>
      <c r="AE363" s="92"/>
    </row>
    <row r="364" spans="1:31" s="26" customFormat="1">
      <c r="A364" s="145"/>
      <c r="B364" s="133"/>
      <c r="C364" s="92"/>
      <c r="D364" s="92"/>
      <c r="E364" s="92"/>
      <c r="F364" s="92"/>
      <c r="G364" s="92"/>
      <c r="H364" s="92"/>
      <c r="I364" s="92"/>
      <c r="J364" s="92"/>
      <c r="K364" s="92"/>
      <c r="L364" s="92"/>
      <c r="M364" s="92"/>
      <c r="N364" s="92"/>
      <c r="O364" s="92"/>
      <c r="P364" s="92"/>
      <c r="Q364" s="92"/>
      <c r="R364" s="92"/>
      <c r="T364" s="92"/>
      <c r="U364" s="92"/>
      <c r="V364" s="92"/>
      <c r="W364" s="92"/>
      <c r="X364" s="92"/>
      <c r="Y364" s="92"/>
      <c r="Z364" s="92"/>
      <c r="AA364" s="92"/>
      <c r="AB364" s="92"/>
      <c r="AC364" s="92"/>
      <c r="AD364" s="92"/>
      <c r="AE364" s="92"/>
    </row>
    <row r="365" spans="1:31" s="26" customFormat="1">
      <c r="A365" s="145"/>
      <c r="B365" s="133"/>
      <c r="C365" s="92"/>
      <c r="D365" s="92"/>
      <c r="E365" s="92"/>
      <c r="F365" s="92"/>
      <c r="G365" s="92"/>
      <c r="H365" s="92"/>
      <c r="I365" s="92"/>
      <c r="J365" s="92"/>
      <c r="K365" s="92"/>
      <c r="L365" s="92"/>
      <c r="M365" s="92"/>
      <c r="N365" s="92"/>
      <c r="O365" s="92"/>
      <c r="P365" s="92"/>
      <c r="Q365" s="92"/>
      <c r="R365" s="92"/>
      <c r="T365" s="92"/>
      <c r="U365" s="92"/>
      <c r="V365" s="92"/>
      <c r="W365" s="92"/>
      <c r="X365" s="92"/>
      <c r="Y365" s="92"/>
      <c r="Z365" s="92"/>
      <c r="AA365" s="92"/>
      <c r="AB365" s="92"/>
      <c r="AC365" s="92"/>
      <c r="AD365" s="92"/>
      <c r="AE365" s="92"/>
    </row>
    <row r="366" spans="1:31" s="26" customFormat="1">
      <c r="A366" s="145"/>
      <c r="B366" s="133"/>
      <c r="C366" s="92"/>
      <c r="D366" s="92"/>
      <c r="E366" s="92"/>
      <c r="F366" s="92"/>
      <c r="G366" s="92"/>
      <c r="H366" s="92"/>
      <c r="I366" s="92"/>
      <c r="J366" s="92"/>
      <c r="K366" s="92"/>
      <c r="L366" s="92"/>
      <c r="M366" s="92"/>
      <c r="N366" s="92"/>
      <c r="O366" s="92"/>
      <c r="P366" s="92"/>
      <c r="Q366" s="92"/>
      <c r="R366" s="92"/>
      <c r="T366" s="92"/>
      <c r="U366" s="92"/>
      <c r="V366" s="92"/>
      <c r="W366" s="92"/>
      <c r="X366" s="92"/>
      <c r="Y366" s="92"/>
      <c r="Z366" s="92"/>
      <c r="AA366" s="92"/>
      <c r="AB366" s="92"/>
      <c r="AC366" s="92"/>
      <c r="AD366" s="92"/>
      <c r="AE366" s="92"/>
    </row>
    <row r="367" spans="1:31" s="26" customFormat="1">
      <c r="A367" s="145"/>
      <c r="B367" s="133"/>
      <c r="C367" s="92"/>
      <c r="D367" s="92"/>
      <c r="E367" s="92"/>
      <c r="F367" s="92"/>
      <c r="G367" s="92"/>
      <c r="H367" s="92"/>
      <c r="I367" s="92"/>
      <c r="J367" s="92"/>
      <c r="K367" s="92"/>
      <c r="L367" s="92"/>
      <c r="M367" s="92"/>
      <c r="N367" s="92"/>
      <c r="O367" s="92"/>
      <c r="P367" s="92"/>
      <c r="Q367" s="92"/>
      <c r="R367" s="92"/>
      <c r="T367" s="92"/>
      <c r="U367" s="92"/>
      <c r="V367" s="92"/>
      <c r="W367" s="92"/>
      <c r="X367" s="92"/>
      <c r="Y367" s="92"/>
      <c r="Z367" s="92"/>
      <c r="AA367" s="92"/>
      <c r="AB367" s="92"/>
      <c r="AC367" s="92"/>
      <c r="AD367" s="92"/>
      <c r="AE367" s="92"/>
    </row>
    <row r="368" spans="1:31" s="26" customFormat="1">
      <c r="A368" s="145"/>
      <c r="B368" s="133"/>
      <c r="C368" s="92"/>
      <c r="D368" s="92"/>
      <c r="E368" s="92"/>
      <c r="F368" s="92"/>
      <c r="G368" s="92"/>
      <c r="H368" s="92"/>
      <c r="I368" s="92"/>
      <c r="J368" s="92"/>
      <c r="K368" s="92"/>
      <c r="L368" s="92"/>
      <c r="M368" s="92"/>
      <c r="N368" s="92"/>
      <c r="O368" s="92"/>
      <c r="P368" s="92"/>
      <c r="Q368" s="92"/>
      <c r="R368" s="92"/>
      <c r="T368" s="92"/>
      <c r="U368" s="92"/>
      <c r="V368" s="92"/>
      <c r="W368" s="92"/>
      <c r="X368" s="92"/>
      <c r="Y368" s="92"/>
      <c r="Z368" s="92"/>
      <c r="AA368" s="92"/>
      <c r="AB368" s="92"/>
      <c r="AC368" s="92"/>
      <c r="AD368" s="92"/>
      <c r="AE368" s="92"/>
    </row>
    <row r="369" spans="1:31" s="26" customFormat="1">
      <c r="A369" s="145"/>
      <c r="B369" s="133"/>
      <c r="C369" s="92"/>
      <c r="D369" s="92"/>
      <c r="E369" s="92"/>
      <c r="F369" s="92"/>
      <c r="G369" s="92"/>
      <c r="H369" s="92"/>
      <c r="I369" s="92"/>
      <c r="J369" s="92"/>
      <c r="K369" s="92"/>
      <c r="L369" s="92"/>
      <c r="M369" s="92"/>
      <c r="N369" s="92"/>
      <c r="O369" s="92"/>
      <c r="P369" s="92"/>
      <c r="Q369" s="92"/>
      <c r="R369" s="92"/>
      <c r="T369" s="92"/>
      <c r="U369" s="92"/>
      <c r="V369" s="92"/>
      <c r="W369" s="92"/>
      <c r="X369" s="92"/>
      <c r="Y369" s="92"/>
      <c r="Z369" s="92"/>
      <c r="AA369" s="92"/>
      <c r="AB369" s="92"/>
      <c r="AC369" s="92"/>
      <c r="AD369" s="92"/>
      <c r="AE369" s="92"/>
    </row>
    <row r="370" spans="1:31" s="26" customFormat="1">
      <c r="A370" s="145"/>
      <c r="B370" s="133"/>
      <c r="C370" s="92"/>
      <c r="D370" s="92"/>
      <c r="E370" s="92"/>
      <c r="F370" s="92"/>
      <c r="G370" s="92"/>
      <c r="H370" s="92"/>
      <c r="I370" s="92"/>
      <c r="J370" s="92"/>
      <c r="K370" s="92"/>
      <c r="L370" s="92"/>
      <c r="M370" s="92"/>
      <c r="N370" s="92"/>
      <c r="O370" s="92"/>
      <c r="P370" s="92"/>
      <c r="Q370" s="92"/>
      <c r="R370" s="92"/>
      <c r="T370" s="92"/>
      <c r="U370" s="92"/>
      <c r="V370" s="92"/>
      <c r="W370" s="92"/>
      <c r="X370" s="92"/>
      <c r="Y370" s="92"/>
      <c r="Z370" s="92"/>
      <c r="AA370" s="92"/>
      <c r="AB370" s="92"/>
      <c r="AC370" s="92"/>
      <c r="AD370" s="92"/>
      <c r="AE370" s="92"/>
    </row>
    <row r="371" spans="1:31" s="26" customFormat="1">
      <c r="A371" s="145"/>
      <c r="B371" s="133"/>
      <c r="C371" s="92"/>
      <c r="D371" s="92"/>
      <c r="E371" s="92"/>
      <c r="F371" s="92"/>
      <c r="G371" s="92"/>
      <c r="H371" s="92"/>
      <c r="I371" s="92"/>
      <c r="J371" s="92"/>
      <c r="K371" s="92"/>
      <c r="L371" s="92"/>
      <c r="M371" s="92"/>
      <c r="N371" s="92"/>
      <c r="O371" s="92"/>
      <c r="P371" s="92"/>
      <c r="Q371" s="92"/>
      <c r="R371" s="92"/>
      <c r="T371" s="92"/>
      <c r="U371" s="92"/>
      <c r="V371" s="92"/>
      <c r="W371" s="92"/>
      <c r="X371" s="92"/>
      <c r="Y371" s="92"/>
      <c r="Z371" s="92"/>
      <c r="AA371" s="92"/>
      <c r="AB371" s="92"/>
      <c r="AC371" s="92"/>
      <c r="AD371" s="92"/>
      <c r="AE371" s="92"/>
    </row>
    <row r="372" spans="1:31" s="26" customFormat="1">
      <c r="A372" s="145"/>
      <c r="B372" s="133"/>
      <c r="C372" s="92"/>
      <c r="D372" s="92"/>
      <c r="E372" s="92"/>
      <c r="F372" s="92"/>
      <c r="G372" s="92"/>
      <c r="H372" s="92"/>
      <c r="I372" s="92"/>
      <c r="J372" s="92"/>
      <c r="K372" s="92"/>
      <c r="L372" s="92"/>
      <c r="M372" s="92"/>
      <c r="N372" s="92"/>
      <c r="O372" s="92"/>
      <c r="P372" s="92"/>
      <c r="Q372" s="92"/>
      <c r="R372" s="92"/>
      <c r="T372" s="92"/>
      <c r="U372" s="92"/>
      <c r="V372" s="92"/>
      <c r="W372" s="92"/>
      <c r="X372" s="92"/>
      <c r="Y372" s="92"/>
      <c r="Z372" s="92"/>
      <c r="AA372" s="92"/>
      <c r="AB372" s="92"/>
      <c r="AC372" s="92"/>
      <c r="AD372" s="92"/>
      <c r="AE372" s="92"/>
    </row>
    <row r="373" spans="1:31" s="26" customFormat="1">
      <c r="A373" s="145"/>
      <c r="B373" s="133"/>
      <c r="C373" s="92"/>
      <c r="D373" s="92"/>
      <c r="E373" s="92"/>
      <c r="F373" s="92"/>
      <c r="G373" s="92"/>
      <c r="H373" s="92"/>
      <c r="I373" s="92"/>
      <c r="J373" s="92"/>
      <c r="K373" s="92"/>
      <c r="L373" s="92"/>
      <c r="M373" s="92"/>
      <c r="N373" s="92"/>
      <c r="O373" s="92"/>
      <c r="P373" s="92"/>
      <c r="Q373" s="92"/>
      <c r="R373" s="92"/>
      <c r="T373" s="92"/>
      <c r="U373" s="92"/>
      <c r="V373" s="92"/>
      <c r="W373" s="92"/>
      <c r="X373" s="92"/>
      <c r="Y373" s="92"/>
      <c r="Z373" s="92"/>
      <c r="AA373" s="92"/>
      <c r="AB373" s="92"/>
      <c r="AC373" s="92"/>
      <c r="AD373" s="92"/>
      <c r="AE373" s="92"/>
    </row>
    <row r="374" spans="1:31" s="26" customFormat="1">
      <c r="A374" s="145"/>
      <c r="B374" s="133"/>
      <c r="C374" s="92"/>
      <c r="D374" s="92"/>
      <c r="E374" s="92"/>
      <c r="F374" s="92"/>
      <c r="G374" s="92"/>
      <c r="H374" s="92"/>
      <c r="I374" s="92"/>
      <c r="J374" s="92"/>
      <c r="K374" s="92"/>
      <c r="L374" s="92"/>
      <c r="M374" s="92"/>
      <c r="N374" s="92"/>
      <c r="O374" s="92"/>
      <c r="P374" s="92"/>
      <c r="Q374" s="92"/>
      <c r="R374" s="92"/>
      <c r="T374" s="92"/>
      <c r="U374" s="92"/>
      <c r="V374" s="92"/>
      <c r="W374" s="92"/>
      <c r="X374" s="92"/>
      <c r="Y374" s="92"/>
      <c r="Z374" s="92"/>
      <c r="AA374" s="92"/>
      <c r="AB374" s="92"/>
      <c r="AC374" s="92"/>
      <c r="AD374" s="92"/>
      <c r="AE374" s="92"/>
    </row>
    <row r="375" spans="1:31" s="26" customFormat="1">
      <c r="A375" s="145"/>
      <c r="B375" s="133"/>
      <c r="C375" s="92"/>
      <c r="D375" s="92"/>
      <c r="E375" s="92"/>
      <c r="F375" s="92"/>
      <c r="G375" s="92"/>
      <c r="H375" s="92"/>
      <c r="I375" s="92"/>
      <c r="J375" s="92"/>
      <c r="K375" s="92"/>
      <c r="L375" s="92"/>
      <c r="M375" s="92"/>
      <c r="N375" s="92"/>
      <c r="O375" s="92"/>
      <c r="P375" s="92"/>
      <c r="Q375" s="92"/>
      <c r="R375" s="92"/>
      <c r="T375" s="92"/>
      <c r="U375" s="92"/>
      <c r="V375" s="92"/>
      <c r="W375" s="92"/>
      <c r="X375" s="92"/>
      <c r="Y375" s="92"/>
      <c r="Z375" s="92"/>
      <c r="AA375" s="92"/>
      <c r="AB375" s="92"/>
      <c r="AC375" s="92"/>
      <c r="AD375" s="92"/>
      <c r="AE375" s="92"/>
    </row>
    <row r="376" spans="1:31" s="26" customFormat="1">
      <c r="A376" s="145"/>
      <c r="B376" s="133"/>
      <c r="C376" s="92"/>
      <c r="D376" s="92"/>
      <c r="E376" s="92"/>
      <c r="F376" s="92"/>
      <c r="G376" s="92"/>
      <c r="H376" s="92"/>
      <c r="I376" s="92"/>
      <c r="J376" s="92"/>
      <c r="K376" s="92"/>
      <c r="L376" s="92"/>
      <c r="M376" s="92"/>
      <c r="N376" s="92"/>
      <c r="O376" s="92"/>
      <c r="P376" s="92"/>
      <c r="Q376" s="92"/>
      <c r="R376" s="92"/>
      <c r="T376" s="92"/>
      <c r="U376" s="92"/>
      <c r="V376" s="92"/>
      <c r="W376" s="92"/>
      <c r="X376" s="92"/>
      <c r="Y376" s="92"/>
      <c r="Z376" s="92"/>
      <c r="AA376" s="92"/>
      <c r="AB376" s="92"/>
      <c r="AC376" s="92"/>
      <c r="AD376" s="92"/>
      <c r="AE376" s="92"/>
    </row>
    <row r="377" spans="1:31" s="26" customFormat="1">
      <c r="A377" s="145"/>
      <c r="B377" s="133"/>
      <c r="C377" s="92"/>
      <c r="D377" s="92"/>
      <c r="E377" s="92"/>
      <c r="F377" s="92"/>
      <c r="G377" s="92"/>
      <c r="H377" s="92"/>
      <c r="I377" s="92"/>
      <c r="J377" s="92"/>
      <c r="K377" s="92"/>
      <c r="L377" s="92"/>
      <c r="M377" s="92"/>
      <c r="N377" s="92"/>
      <c r="O377" s="92"/>
      <c r="P377" s="92"/>
      <c r="Q377" s="92"/>
      <c r="R377" s="92"/>
      <c r="T377" s="92"/>
      <c r="U377" s="92"/>
      <c r="V377" s="92"/>
      <c r="W377" s="92"/>
      <c r="X377" s="92"/>
      <c r="Y377" s="92"/>
      <c r="Z377" s="92"/>
      <c r="AA377" s="92"/>
      <c r="AB377" s="92"/>
      <c r="AC377" s="92"/>
      <c r="AD377" s="92"/>
      <c r="AE377" s="92"/>
    </row>
    <row r="378" spans="1:31" s="26" customFormat="1">
      <c r="A378" s="145"/>
      <c r="B378" s="133"/>
      <c r="C378" s="92"/>
      <c r="D378" s="92"/>
      <c r="E378" s="92"/>
      <c r="F378" s="92"/>
      <c r="G378" s="92"/>
      <c r="H378" s="92"/>
      <c r="I378" s="92"/>
      <c r="J378" s="92"/>
      <c r="K378" s="92"/>
      <c r="L378" s="92"/>
      <c r="M378" s="92"/>
      <c r="N378" s="92"/>
      <c r="O378" s="92"/>
      <c r="P378" s="92"/>
      <c r="Q378" s="92"/>
      <c r="R378" s="92"/>
      <c r="T378" s="92"/>
      <c r="U378" s="92"/>
      <c r="V378" s="92"/>
      <c r="W378" s="92"/>
      <c r="X378" s="92"/>
      <c r="Y378" s="92"/>
      <c r="Z378" s="92"/>
      <c r="AA378" s="92"/>
      <c r="AB378" s="92"/>
      <c r="AC378" s="92"/>
      <c r="AD378" s="92"/>
      <c r="AE378" s="92"/>
    </row>
    <row r="379" spans="1:31" s="26" customFormat="1">
      <c r="A379" s="145"/>
      <c r="B379" s="133"/>
      <c r="C379" s="92"/>
      <c r="D379" s="92"/>
      <c r="E379" s="92"/>
      <c r="F379" s="92"/>
      <c r="G379" s="92"/>
      <c r="H379" s="92"/>
      <c r="I379" s="92"/>
      <c r="J379" s="92"/>
      <c r="K379" s="92"/>
      <c r="L379" s="92"/>
      <c r="M379" s="92"/>
      <c r="N379" s="92"/>
      <c r="O379" s="92"/>
      <c r="P379" s="92"/>
      <c r="Q379" s="92"/>
      <c r="R379" s="92"/>
      <c r="T379" s="92"/>
      <c r="U379" s="92"/>
      <c r="V379" s="92"/>
      <c r="W379" s="92"/>
      <c r="X379" s="92"/>
      <c r="Y379" s="92"/>
      <c r="Z379" s="92"/>
      <c r="AA379" s="92"/>
      <c r="AB379" s="92"/>
      <c r="AC379" s="92"/>
      <c r="AD379" s="92"/>
      <c r="AE379" s="92"/>
    </row>
    <row r="380" spans="1:31" s="26" customFormat="1">
      <c r="A380" s="145"/>
      <c r="B380" s="133"/>
      <c r="C380" s="92"/>
      <c r="D380" s="92"/>
      <c r="E380" s="92"/>
      <c r="F380" s="92"/>
      <c r="G380" s="92"/>
      <c r="H380" s="92"/>
      <c r="I380" s="92"/>
      <c r="J380" s="92"/>
      <c r="K380" s="92"/>
      <c r="L380" s="92"/>
      <c r="M380" s="92"/>
      <c r="N380" s="92"/>
      <c r="O380" s="92"/>
      <c r="P380" s="92"/>
      <c r="Q380" s="92"/>
      <c r="R380" s="92"/>
      <c r="T380" s="92"/>
      <c r="U380" s="92"/>
      <c r="V380" s="92"/>
      <c r="W380" s="92"/>
      <c r="X380" s="92"/>
      <c r="Y380" s="92"/>
      <c r="Z380" s="92"/>
      <c r="AA380" s="92"/>
      <c r="AB380" s="92"/>
      <c r="AC380" s="92"/>
      <c r="AD380" s="92"/>
      <c r="AE380" s="92"/>
    </row>
    <row r="381" spans="1:31" s="26" customFormat="1">
      <c r="A381" s="145"/>
      <c r="B381" s="133"/>
      <c r="C381" s="92"/>
      <c r="D381" s="92"/>
      <c r="E381" s="92"/>
      <c r="F381" s="92"/>
      <c r="G381" s="92"/>
      <c r="H381" s="92"/>
      <c r="I381" s="92"/>
      <c r="J381" s="92"/>
      <c r="K381" s="92"/>
      <c r="L381" s="92"/>
      <c r="M381" s="92"/>
      <c r="N381" s="92"/>
      <c r="O381" s="92"/>
      <c r="P381" s="92"/>
      <c r="Q381" s="92"/>
      <c r="R381" s="92"/>
      <c r="T381" s="92"/>
      <c r="U381" s="92"/>
      <c r="V381" s="92"/>
      <c r="W381" s="92"/>
      <c r="X381" s="92"/>
      <c r="Y381" s="92"/>
      <c r="Z381" s="92"/>
      <c r="AA381" s="92"/>
      <c r="AB381" s="92"/>
      <c r="AC381" s="92"/>
      <c r="AD381" s="92"/>
      <c r="AE381" s="92"/>
    </row>
    <row r="382" spans="1:31" s="26" customFormat="1">
      <c r="A382" s="145"/>
      <c r="B382" s="133"/>
      <c r="C382" s="92"/>
      <c r="D382" s="92"/>
      <c r="E382" s="92"/>
      <c r="F382" s="92"/>
      <c r="G382" s="92"/>
      <c r="H382" s="92"/>
      <c r="I382" s="92"/>
      <c r="J382" s="92"/>
      <c r="K382" s="92"/>
      <c r="L382" s="92"/>
      <c r="M382" s="92"/>
      <c r="N382" s="92"/>
      <c r="O382" s="92"/>
      <c r="P382" s="92"/>
      <c r="Q382" s="92"/>
      <c r="R382" s="92"/>
      <c r="T382" s="92"/>
      <c r="U382" s="92"/>
      <c r="V382" s="92"/>
      <c r="W382" s="92"/>
      <c r="X382" s="92"/>
      <c r="Y382" s="92"/>
      <c r="Z382" s="92"/>
      <c r="AA382" s="92"/>
      <c r="AB382" s="92"/>
      <c r="AC382" s="92"/>
      <c r="AD382" s="92"/>
      <c r="AE382" s="92"/>
    </row>
    <row r="383" spans="1:31" s="26" customFormat="1">
      <c r="A383" s="145"/>
      <c r="B383" s="133"/>
      <c r="C383" s="92"/>
      <c r="D383" s="92"/>
      <c r="E383" s="92"/>
      <c r="F383" s="92"/>
      <c r="G383" s="92"/>
      <c r="H383" s="92"/>
      <c r="I383" s="92"/>
      <c r="J383" s="92"/>
      <c r="K383" s="92"/>
      <c r="L383" s="92"/>
      <c r="M383" s="92"/>
      <c r="N383" s="92"/>
      <c r="O383" s="92"/>
      <c r="P383" s="92"/>
      <c r="Q383" s="92"/>
      <c r="R383" s="92"/>
      <c r="T383" s="92"/>
      <c r="U383" s="92"/>
      <c r="V383" s="92"/>
      <c r="W383" s="92"/>
      <c r="X383" s="92"/>
      <c r="Y383" s="92"/>
      <c r="Z383" s="92"/>
      <c r="AA383" s="92"/>
      <c r="AB383" s="92"/>
      <c r="AC383" s="92"/>
      <c r="AD383" s="92"/>
      <c r="AE383" s="92"/>
    </row>
    <row r="384" spans="1:31" s="26" customFormat="1">
      <c r="A384" s="145"/>
      <c r="B384" s="133"/>
      <c r="C384" s="92"/>
      <c r="D384" s="92"/>
      <c r="E384" s="92"/>
      <c r="F384" s="92"/>
      <c r="G384" s="92"/>
      <c r="H384" s="92"/>
      <c r="I384" s="92"/>
      <c r="J384" s="92"/>
      <c r="K384" s="92"/>
      <c r="L384" s="92"/>
      <c r="M384" s="92"/>
      <c r="N384" s="92"/>
      <c r="O384" s="92"/>
      <c r="P384" s="92"/>
      <c r="Q384" s="92"/>
      <c r="R384" s="92"/>
      <c r="T384" s="92"/>
      <c r="U384" s="92"/>
      <c r="V384" s="92"/>
      <c r="W384" s="92"/>
      <c r="X384" s="92"/>
      <c r="Y384" s="92"/>
      <c r="Z384" s="92"/>
      <c r="AA384" s="92"/>
      <c r="AB384" s="92"/>
      <c r="AC384" s="92"/>
      <c r="AD384" s="92"/>
      <c r="AE384" s="92"/>
    </row>
    <row r="385" spans="1:31" s="26" customFormat="1">
      <c r="A385" s="145"/>
      <c r="B385" s="133"/>
      <c r="C385" s="92"/>
      <c r="D385" s="92"/>
      <c r="E385" s="92"/>
      <c r="F385" s="92"/>
      <c r="G385" s="92"/>
      <c r="H385" s="92"/>
      <c r="I385" s="92"/>
      <c r="J385" s="92"/>
      <c r="K385" s="92"/>
      <c r="L385" s="92"/>
      <c r="M385" s="92"/>
      <c r="N385" s="92"/>
      <c r="O385" s="92"/>
      <c r="P385" s="92"/>
      <c r="Q385" s="92"/>
      <c r="R385" s="92"/>
      <c r="T385" s="92"/>
      <c r="U385" s="92"/>
      <c r="V385" s="92"/>
      <c r="W385" s="92"/>
      <c r="X385" s="92"/>
      <c r="Y385" s="92"/>
      <c r="Z385" s="92"/>
      <c r="AA385" s="92"/>
      <c r="AB385" s="92"/>
      <c r="AC385" s="92"/>
      <c r="AD385" s="92"/>
      <c r="AE385" s="92"/>
    </row>
    <row r="386" spans="1:31" s="26" customFormat="1">
      <c r="A386" s="145"/>
      <c r="B386" s="133"/>
      <c r="C386" s="92"/>
      <c r="D386" s="92"/>
      <c r="E386" s="92"/>
      <c r="F386" s="92"/>
      <c r="G386" s="92"/>
      <c r="H386" s="92"/>
      <c r="I386" s="92"/>
      <c r="J386" s="92"/>
      <c r="K386" s="92"/>
      <c r="L386" s="92"/>
      <c r="M386" s="92"/>
      <c r="N386" s="92"/>
      <c r="O386" s="92"/>
      <c r="P386" s="92"/>
      <c r="Q386" s="92"/>
      <c r="R386" s="92"/>
      <c r="T386" s="92"/>
      <c r="U386" s="92"/>
      <c r="V386" s="92"/>
      <c r="W386" s="92"/>
      <c r="X386" s="92"/>
      <c r="Y386" s="92"/>
      <c r="Z386" s="92"/>
      <c r="AA386" s="92"/>
      <c r="AB386" s="92"/>
      <c r="AC386" s="92"/>
      <c r="AD386" s="92"/>
      <c r="AE386" s="92"/>
    </row>
    <row r="387" spans="1:31" s="26" customFormat="1">
      <c r="A387" s="145"/>
      <c r="B387" s="133"/>
      <c r="C387" s="92"/>
      <c r="D387" s="92"/>
      <c r="E387" s="92"/>
      <c r="F387" s="92"/>
      <c r="G387" s="92"/>
      <c r="H387" s="92"/>
      <c r="I387" s="92"/>
      <c r="J387" s="92"/>
      <c r="K387" s="92"/>
      <c r="L387" s="92"/>
      <c r="M387" s="92"/>
      <c r="N387" s="92"/>
      <c r="O387" s="92"/>
      <c r="P387" s="92"/>
      <c r="Q387" s="92"/>
      <c r="R387" s="92"/>
      <c r="T387" s="92"/>
      <c r="U387" s="92"/>
      <c r="V387" s="92"/>
      <c r="W387" s="92"/>
      <c r="X387" s="92"/>
      <c r="Y387" s="92"/>
      <c r="Z387" s="92"/>
      <c r="AA387" s="92"/>
      <c r="AB387" s="92"/>
      <c r="AC387" s="92"/>
      <c r="AD387" s="92"/>
      <c r="AE387" s="92"/>
    </row>
    <row r="388" spans="1:31" s="26" customFormat="1">
      <c r="A388" s="145"/>
      <c r="B388" s="133"/>
      <c r="C388" s="92"/>
      <c r="D388" s="92"/>
      <c r="E388" s="92"/>
      <c r="F388" s="92"/>
      <c r="G388" s="92"/>
      <c r="H388" s="92"/>
      <c r="I388" s="92"/>
      <c r="J388" s="92"/>
      <c r="K388" s="92"/>
      <c r="L388" s="92"/>
      <c r="M388" s="92"/>
      <c r="N388" s="92"/>
      <c r="O388" s="92"/>
      <c r="P388" s="92"/>
      <c r="Q388" s="92"/>
      <c r="R388" s="92"/>
      <c r="T388" s="92"/>
      <c r="U388" s="92"/>
      <c r="V388" s="92"/>
      <c r="W388" s="92"/>
      <c r="X388" s="92"/>
      <c r="Y388" s="92"/>
      <c r="Z388" s="92"/>
      <c r="AA388" s="92"/>
      <c r="AB388" s="92"/>
      <c r="AC388" s="92"/>
      <c r="AD388" s="92"/>
      <c r="AE388" s="92"/>
    </row>
    <row r="389" spans="1:31" s="26" customFormat="1">
      <c r="A389" s="145"/>
      <c r="B389" s="133"/>
      <c r="C389" s="92"/>
      <c r="D389" s="92"/>
      <c r="E389" s="92"/>
      <c r="F389" s="92"/>
      <c r="G389" s="92"/>
      <c r="H389" s="92"/>
      <c r="I389" s="92"/>
      <c r="J389" s="92"/>
      <c r="K389" s="92"/>
      <c r="L389" s="92"/>
      <c r="M389" s="92"/>
      <c r="N389" s="92"/>
      <c r="O389" s="92"/>
      <c r="P389" s="92"/>
      <c r="Q389" s="92"/>
      <c r="R389" s="92"/>
      <c r="T389" s="92"/>
      <c r="U389" s="92"/>
      <c r="V389" s="92"/>
      <c r="W389" s="92"/>
      <c r="X389" s="92"/>
      <c r="Y389" s="92"/>
      <c r="Z389" s="92"/>
      <c r="AA389" s="92"/>
      <c r="AB389" s="92"/>
      <c r="AC389" s="92"/>
      <c r="AD389" s="92"/>
      <c r="AE389" s="92"/>
    </row>
    <row r="390" spans="1:31" s="26" customFormat="1">
      <c r="A390" s="145"/>
      <c r="B390" s="133"/>
      <c r="C390" s="92"/>
      <c r="D390" s="92"/>
      <c r="E390" s="92"/>
      <c r="F390" s="92"/>
      <c r="G390" s="92"/>
      <c r="H390" s="92"/>
      <c r="I390" s="92"/>
      <c r="J390" s="92"/>
      <c r="K390" s="92"/>
      <c r="L390" s="92"/>
      <c r="M390" s="92"/>
      <c r="N390" s="92"/>
      <c r="O390" s="92"/>
      <c r="P390" s="92"/>
      <c r="Q390" s="92"/>
      <c r="R390" s="92"/>
      <c r="T390" s="92"/>
      <c r="U390" s="92"/>
      <c r="V390" s="92"/>
      <c r="W390" s="92"/>
      <c r="X390" s="92"/>
      <c r="Y390" s="92"/>
      <c r="Z390" s="92"/>
      <c r="AA390" s="92"/>
      <c r="AB390" s="92"/>
      <c r="AC390" s="92"/>
      <c r="AD390" s="92"/>
      <c r="AE390" s="92"/>
    </row>
    <row r="391" spans="1:31" s="26" customFormat="1">
      <c r="A391" s="145"/>
      <c r="B391" s="133"/>
      <c r="C391" s="92"/>
      <c r="D391" s="92"/>
      <c r="E391" s="92"/>
      <c r="F391" s="92"/>
      <c r="G391" s="92"/>
      <c r="H391" s="92"/>
      <c r="I391" s="92"/>
      <c r="J391" s="92"/>
      <c r="K391" s="92"/>
      <c r="L391" s="92"/>
      <c r="M391" s="92"/>
      <c r="N391" s="92"/>
      <c r="O391" s="92"/>
      <c r="P391" s="92"/>
      <c r="Q391" s="92"/>
      <c r="R391" s="92"/>
      <c r="T391" s="92"/>
      <c r="U391" s="92"/>
      <c r="V391" s="92"/>
      <c r="W391" s="92"/>
      <c r="X391" s="92"/>
      <c r="Y391" s="92"/>
      <c r="Z391" s="92"/>
      <c r="AA391" s="92"/>
      <c r="AB391" s="92"/>
      <c r="AC391" s="92"/>
      <c r="AD391" s="92"/>
      <c r="AE391" s="92"/>
    </row>
    <row r="392" spans="1:31" s="26" customFormat="1">
      <c r="A392" s="145"/>
      <c r="B392" s="133"/>
      <c r="C392" s="92"/>
      <c r="D392" s="92"/>
      <c r="E392" s="92"/>
      <c r="F392" s="92"/>
      <c r="G392" s="92"/>
      <c r="H392" s="92"/>
      <c r="I392" s="92"/>
      <c r="J392" s="92"/>
      <c r="K392" s="92"/>
      <c r="L392" s="92"/>
      <c r="M392" s="92"/>
      <c r="N392" s="92"/>
      <c r="O392" s="92"/>
      <c r="P392" s="92"/>
      <c r="Q392" s="92"/>
      <c r="R392" s="92"/>
      <c r="T392" s="92"/>
      <c r="U392" s="92"/>
      <c r="V392" s="92"/>
      <c r="W392" s="92"/>
      <c r="X392" s="92"/>
      <c r="Y392" s="92"/>
      <c r="Z392" s="92"/>
      <c r="AA392" s="92"/>
      <c r="AB392" s="92"/>
      <c r="AC392" s="92"/>
      <c r="AD392" s="92"/>
      <c r="AE392" s="92"/>
    </row>
    <row r="393" spans="1:31" s="26" customFormat="1">
      <c r="A393" s="145"/>
      <c r="B393" s="133"/>
      <c r="C393" s="92"/>
      <c r="D393" s="92"/>
      <c r="E393" s="92"/>
      <c r="F393" s="92"/>
      <c r="G393" s="92"/>
      <c r="H393" s="92"/>
      <c r="I393" s="92"/>
      <c r="J393" s="92"/>
      <c r="K393" s="92"/>
      <c r="L393" s="92"/>
      <c r="M393" s="92"/>
      <c r="N393" s="92"/>
      <c r="O393" s="92"/>
      <c r="P393" s="92"/>
      <c r="Q393" s="92"/>
      <c r="R393" s="92"/>
      <c r="T393" s="92"/>
      <c r="U393" s="92"/>
      <c r="V393" s="92"/>
      <c r="W393" s="92"/>
      <c r="X393" s="92"/>
      <c r="Y393" s="92"/>
      <c r="Z393" s="92"/>
      <c r="AA393" s="92"/>
      <c r="AB393" s="92"/>
      <c r="AC393" s="92"/>
      <c r="AD393" s="92"/>
      <c r="AE393" s="92"/>
    </row>
    <row r="394" spans="1:31" s="26" customFormat="1">
      <c r="A394" s="145"/>
      <c r="B394" s="133"/>
      <c r="C394" s="92"/>
      <c r="D394" s="92"/>
      <c r="E394" s="92"/>
      <c r="F394" s="92"/>
      <c r="G394" s="92"/>
      <c r="H394" s="92"/>
      <c r="I394" s="92"/>
      <c r="J394" s="92"/>
      <c r="K394" s="92"/>
      <c r="L394" s="92"/>
      <c r="M394" s="92"/>
      <c r="N394" s="92"/>
      <c r="O394" s="92"/>
      <c r="P394" s="92"/>
      <c r="Q394" s="92"/>
      <c r="R394" s="92"/>
      <c r="T394" s="92"/>
      <c r="U394" s="92"/>
      <c r="V394" s="92"/>
      <c r="W394" s="92"/>
      <c r="X394" s="92"/>
      <c r="Y394" s="92"/>
      <c r="Z394" s="92"/>
      <c r="AA394" s="92"/>
      <c r="AB394" s="92"/>
      <c r="AC394" s="92"/>
      <c r="AD394" s="92"/>
      <c r="AE394" s="92"/>
    </row>
    <row r="395" spans="1:31" s="26" customFormat="1">
      <c r="A395" s="145"/>
      <c r="B395" s="133"/>
      <c r="C395" s="92"/>
      <c r="D395" s="92"/>
      <c r="E395" s="92"/>
      <c r="F395" s="92"/>
      <c r="G395" s="92"/>
      <c r="H395" s="92"/>
      <c r="I395" s="92"/>
      <c r="J395" s="92"/>
      <c r="K395" s="92"/>
      <c r="L395" s="92"/>
      <c r="M395" s="92"/>
      <c r="N395" s="92"/>
      <c r="O395" s="92"/>
      <c r="P395" s="92"/>
      <c r="Q395" s="92"/>
      <c r="R395" s="92"/>
      <c r="T395" s="92"/>
      <c r="U395" s="92"/>
      <c r="V395" s="92"/>
      <c r="W395" s="92"/>
      <c r="X395" s="92"/>
      <c r="Y395" s="92"/>
      <c r="Z395" s="92"/>
      <c r="AA395" s="92"/>
      <c r="AB395" s="92"/>
      <c r="AC395" s="92"/>
      <c r="AD395" s="92"/>
      <c r="AE395" s="92"/>
    </row>
    <row r="396" spans="1:31" s="26" customFormat="1">
      <c r="A396" s="145"/>
      <c r="B396" s="133"/>
      <c r="C396" s="92"/>
      <c r="D396" s="92"/>
      <c r="E396" s="92"/>
      <c r="F396" s="92"/>
      <c r="G396" s="92"/>
      <c r="H396" s="92"/>
      <c r="I396" s="92"/>
      <c r="J396" s="92"/>
      <c r="K396" s="92"/>
      <c r="L396" s="92"/>
      <c r="M396" s="92"/>
      <c r="N396" s="92"/>
      <c r="O396" s="92"/>
      <c r="P396" s="92"/>
      <c r="Q396" s="92"/>
      <c r="R396" s="92"/>
      <c r="T396" s="92"/>
      <c r="U396" s="92"/>
      <c r="V396" s="92"/>
      <c r="W396" s="92"/>
      <c r="X396" s="92"/>
      <c r="Y396" s="92"/>
      <c r="Z396" s="92"/>
      <c r="AA396" s="92"/>
      <c r="AB396" s="92"/>
      <c r="AC396" s="92"/>
      <c r="AD396" s="92"/>
      <c r="AE396" s="92"/>
    </row>
    <row r="397" spans="1:31" s="26" customFormat="1">
      <c r="A397" s="145"/>
      <c r="B397" s="133"/>
      <c r="C397" s="92"/>
      <c r="D397" s="92"/>
      <c r="E397" s="92"/>
      <c r="F397" s="92"/>
      <c r="G397" s="92"/>
      <c r="H397" s="92"/>
      <c r="I397" s="92"/>
      <c r="J397" s="92"/>
      <c r="K397" s="92"/>
      <c r="L397" s="92"/>
      <c r="M397" s="92"/>
      <c r="N397" s="92"/>
      <c r="O397" s="92"/>
      <c r="P397" s="92"/>
      <c r="Q397" s="92"/>
      <c r="R397" s="92"/>
      <c r="T397" s="92"/>
      <c r="U397" s="92"/>
      <c r="V397" s="92"/>
      <c r="W397" s="92"/>
      <c r="X397" s="92"/>
      <c r="Y397" s="92"/>
      <c r="Z397" s="92"/>
      <c r="AA397" s="92"/>
      <c r="AB397" s="92"/>
      <c r="AC397" s="92"/>
      <c r="AD397" s="92"/>
      <c r="AE397" s="92"/>
    </row>
    <row r="398" spans="1:31" s="26" customFormat="1">
      <c r="A398" s="145"/>
      <c r="B398" s="133"/>
      <c r="C398" s="92"/>
      <c r="D398" s="92"/>
      <c r="E398" s="92"/>
      <c r="F398" s="92"/>
      <c r="G398" s="92"/>
      <c r="H398" s="92"/>
      <c r="I398" s="92"/>
      <c r="J398" s="92"/>
      <c r="K398" s="92"/>
      <c r="L398" s="92"/>
      <c r="M398" s="92"/>
      <c r="N398" s="92"/>
      <c r="O398" s="92"/>
      <c r="P398" s="92"/>
      <c r="Q398" s="92"/>
      <c r="R398" s="92"/>
      <c r="T398" s="92"/>
      <c r="U398" s="92"/>
      <c r="V398" s="92"/>
      <c r="W398" s="92"/>
      <c r="X398" s="92"/>
      <c r="Y398" s="92"/>
      <c r="Z398" s="92"/>
      <c r="AA398" s="92"/>
      <c r="AB398" s="92"/>
      <c r="AC398" s="92"/>
      <c r="AD398" s="92"/>
      <c r="AE398" s="92"/>
    </row>
    <row r="399" spans="1:31" s="26" customFormat="1">
      <c r="A399" s="145"/>
      <c r="B399" s="133"/>
      <c r="C399" s="92"/>
      <c r="D399" s="92"/>
      <c r="E399" s="92"/>
      <c r="F399" s="92"/>
      <c r="G399" s="92"/>
      <c r="H399" s="92"/>
      <c r="I399" s="92"/>
      <c r="J399" s="92"/>
      <c r="K399" s="92"/>
      <c r="L399" s="92"/>
      <c r="M399" s="92"/>
      <c r="N399" s="92"/>
      <c r="O399" s="92"/>
      <c r="P399" s="92"/>
      <c r="Q399" s="92"/>
      <c r="R399" s="92"/>
      <c r="T399" s="92"/>
      <c r="U399" s="92"/>
      <c r="V399" s="92"/>
      <c r="W399" s="92"/>
      <c r="X399" s="92"/>
      <c r="Y399" s="92"/>
      <c r="Z399" s="92"/>
      <c r="AA399" s="92"/>
      <c r="AB399" s="92"/>
      <c r="AC399" s="92"/>
      <c r="AD399" s="92"/>
      <c r="AE399" s="92"/>
    </row>
    <row r="400" spans="1:31" s="26" customFormat="1">
      <c r="A400" s="145"/>
      <c r="B400" s="133"/>
      <c r="C400" s="92"/>
      <c r="D400" s="92"/>
      <c r="E400" s="92"/>
      <c r="F400" s="92"/>
      <c r="G400" s="92"/>
      <c r="H400" s="92"/>
      <c r="I400" s="92"/>
      <c r="J400" s="92"/>
      <c r="K400" s="92"/>
      <c r="L400" s="92"/>
      <c r="M400" s="92"/>
      <c r="N400" s="92"/>
      <c r="O400" s="92"/>
      <c r="P400" s="92"/>
      <c r="Q400" s="92"/>
      <c r="R400" s="92"/>
      <c r="T400" s="92"/>
      <c r="U400" s="92"/>
      <c r="V400" s="92"/>
      <c r="W400" s="92"/>
      <c r="X400" s="92"/>
      <c r="Y400" s="92"/>
      <c r="Z400" s="92"/>
      <c r="AA400" s="92"/>
      <c r="AB400" s="92"/>
      <c r="AC400" s="92"/>
      <c r="AD400" s="92"/>
      <c r="AE400" s="92"/>
    </row>
    <row r="401" spans="1:31" s="26" customFormat="1">
      <c r="A401" s="145"/>
      <c r="B401" s="133"/>
      <c r="C401" s="92"/>
      <c r="D401" s="92"/>
      <c r="E401" s="92"/>
      <c r="F401" s="92"/>
      <c r="G401" s="92"/>
      <c r="H401" s="92"/>
      <c r="I401" s="92"/>
      <c r="J401" s="92"/>
      <c r="K401" s="92"/>
      <c r="L401" s="92"/>
      <c r="M401" s="92"/>
      <c r="N401" s="92"/>
      <c r="O401" s="92"/>
      <c r="P401" s="92"/>
      <c r="Q401" s="92"/>
      <c r="R401" s="92"/>
      <c r="T401" s="92"/>
      <c r="U401" s="92"/>
      <c r="V401" s="92"/>
      <c r="W401" s="92"/>
      <c r="X401" s="92"/>
      <c r="Y401" s="92"/>
      <c r="Z401" s="92"/>
      <c r="AA401" s="92"/>
      <c r="AB401" s="92"/>
      <c r="AC401" s="92"/>
      <c r="AD401" s="92"/>
      <c r="AE401" s="92"/>
    </row>
    <row r="402" spans="1:31" s="26" customFormat="1">
      <c r="A402" s="145"/>
      <c r="B402" s="133"/>
      <c r="C402" s="92"/>
      <c r="D402" s="92"/>
      <c r="E402" s="92"/>
      <c r="F402" s="92"/>
      <c r="G402" s="92"/>
      <c r="H402" s="92"/>
      <c r="I402" s="92"/>
      <c r="J402" s="92"/>
      <c r="K402" s="92"/>
      <c r="L402" s="92"/>
      <c r="M402" s="92"/>
      <c r="N402" s="92"/>
      <c r="O402" s="92"/>
      <c r="P402" s="92"/>
      <c r="Q402" s="92"/>
      <c r="R402" s="92"/>
      <c r="T402" s="92"/>
      <c r="U402" s="92"/>
      <c r="V402" s="92"/>
      <c r="W402" s="92"/>
      <c r="X402" s="92"/>
      <c r="Y402" s="92"/>
      <c r="Z402" s="92"/>
      <c r="AA402" s="92"/>
      <c r="AB402" s="92"/>
      <c r="AC402" s="92"/>
      <c r="AD402" s="92"/>
      <c r="AE402" s="92"/>
    </row>
    <row r="403" spans="1:31" s="26" customFormat="1">
      <c r="A403" s="145"/>
      <c r="B403" s="133"/>
      <c r="C403" s="134"/>
      <c r="D403" s="134"/>
      <c r="E403" s="134"/>
      <c r="F403" s="134"/>
      <c r="I403" s="92"/>
      <c r="J403" s="92"/>
      <c r="K403" s="92"/>
      <c r="L403" s="92"/>
      <c r="M403" s="92"/>
      <c r="N403" s="92"/>
      <c r="O403" s="92"/>
      <c r="P403" s="92"/>
      <c r="Q403" s="92"/>
      <c r="R403" s="92"/>
      <c r="T403" s="92"/>
      <c r="U403" s="92"/>
      <c r="V403" s="92"/>
      <c r="W403" s="92"/>
      <c r="X403" s="92"/>
      <c r="Y403" s="92"/>
      <c r="Z403" s="92"/>
      <c r="AA403" s="92"/>
      <c r="AB403" s="92"/>
      <c r="AC403" s="92"/>
      <c r="AD403" s="92"/>
      <c r="AE403" s="92"/>
    </row>
    <row r="404" spans="1:31" s="26" customFormat="1">
      <c r="A404" s="145"/>
      <c r="B404" s="133"/>
      <c r="C404" s="134"/>
      <c r="D404" s="134"/>
      <c r="E404" s="134"/>
      <c r="F404" s="134"/>
      <c r="I404" s="92"/>
      <c r="J404" s="92"/>
      <c r="K404" s="92"/>
      <c r="L404" s="92"/>
      <c r="M404" s="92"/>
      <c r="N404" s="92"/>
      <c r="O404" s="92"/>
      <c r="P404" s="92"/>
      <c r="Q404" s="92"/>
      <c r="R404" s="92"/>
      <c r="T404" s="92"/>
      <c r="U404" s="92"/>
      <c r="V404" s="92"/>
      <c r="W404" s="92"/>
      <c r="X404" s="92"/>
      <c r="Y404" s="92"/>
      <c r="Z404" s="92"/>
      <c r="AA404" s="92"/>
      <c r="AB404" s="92"/>
      <c r="AC404" s="92"/>
      <c r="AD404" s="92"/>
      <c r="AE404" s="92"/>
    </row>
    <row r="405" spans="1:31" s="26" customFormat="1">
      <c r="A405" s="145"/>
      <c r="B405" s="133"/>
      <c r="C405" s="134"/>
      <c r="D405" s="134"/>
      <c r="E405" s="134"/>
      <c r="F405" s="134"/>
      <c r="I405" s="92"/>
      <c r="J405" s="92"/>
      <c r="K405" s="92"/>
      <c r="L405" s="92"/>
      <c r="M405" s="92"/>
      <c r="N405" s="92"/>
      <c r="O405" s="92"/>
      <c r="P405" s="92"/>
      <c r="Q405" s="92"/>
      <c r="R405" s="92"/>
      <c r="T405" s="92"/>
      <c r="U405" s="92"/>
      <c r="V405" s="92"/>
      <c r="W405" s="92"/>
      <c r="X405" s="92"/>
      <c r="Y405" s="92"/>
      <c r="Z405" s="92"/>
      <c r="AA405" s="92"/>
      <c r="AB405" s="92"/>
      <c r="AC405" s="92"/>
      <c r="AD405" s="92"/>
      <c r="AE405" s="92"/>
    </row>
    <row r="406" spans="1:31" s="26" customFormat="1">
      <c r="A406" s="145"/>
      <c r="B406" s="133"/>
      <c r="C406" s="134"/>
      <c r="D406" s="134"/>
      <c r="E406" s="134"/>
      <c r="F406" s="134"/>
      <c r="I406" s="92"/>
      <c r="J406" s="92"/>
      <c r="K406" s="92"/>
      <c r="L406" s="92"/>
      <c r="M406" s="92"/>
      <c r="N406" s="92"/>
      <c r="O406" s="92"/>
      <c r="P406" s="92"/>
      <c r="Q406" s="92"/>
      <c r="R406" s="92"/>
      <c r="T406" s="92"/>
      <c r="U406" s="92"/>
      <c r="V406" s="92"/>
      <c r="W406" s="92"/>
      <c r="X406" s="92"/>
      <c r="Y406" s="92"/>
      <c r="Z406" s="92"/>
      <c r="AA406" s="92"/>
      <c r="AB406" s="92"/>
      <c r="AC406" s="92"/>
      <c r="AD406" s="92"/>
      <c r="AE406" s="92"/>
    </row>
    <row r="407" spans="1:31" s="26" customFormat="1">
      <c r="A407" s="145"/>
      <c r="B407" s="133"/>
      <c r="C407" s="134"/>
      <c r="D407" s="134"/>
      <c r="E407" s="134"/>
      <c r="F407" s="134"/>
      <c r="I407" s="92"/>
      <c r="J407" s="92"/>
      <c r="K407" s="92"/>
      <c r="L407" s="92"/>
      <c r="M407" s="92"/>
      <c r="N407" s="92"/>
      <c r="O407" s="92"/>
      <c r="P407" s="92"/>
      <c r="Q407" s="92"/>
      <c r="R407" s="92"/>
      <c r="T407" s="92"/>
      <c r="U407" s="92"/>
      <c r="V407" s="92"/>
      <c r="W407" s="92"/>
      <c r="X407" s="92"/>
      <c r="Y407" s="92"/>
      <c r="Z407" s="92"/>
      <c r="AA407" s="92"/>
      <c r="AB407" s="92"/>
      <c r="AC407" s="92"/>
      <c r="AD407" s="92"/>
      <c r="AE407" s="92"/>
    </row>
    <row r="408" spans="1:31" s="26" customFormat="1">
      <c r="A408" s="145"/>
      <c r="B408" s="133"/>
      <c r="C408" s="134"/>
      <c r="D408" s="134"/>
      <c r="E408" s="134"/>
      <c r="F408" s="134"/>
      <c r="I408" s="92"/>
      <c r="J408" s="92"/>
      <c r="K408" s="92"/>
      <c r="L408" s="92"/>
      <c r="M408" s="92"/>
      <c r="N408" s="92"/>
      <c r="O408" s="92"/>
      <c r="P408" s="92"/>
      <c r="Q408" s="92"/>
      <c r="R408" s="92"/>
      <c r="T408" s="92"/>
      <c r="U408" s="92"/>
      <c r="V408" s="92"/>
      <c r="W408" s="92"/>
      <c r="X408" s="92"/>
      <c r="Y408" s="92"/>
      <c r="Z408" s="92"/>
      <c r="AA408" s="92"/>
      <c r="AB408" s="92"/>
      <c r="AC408" s="92"/>
      <c r="AD408" s="92"/>
      <c r="AE408" s="92"/>
    </row>
    <row r="409" spans="1:31" s="26" customFormat="1">
      <c r="A409" s="145"/>
      <c r="B409" s="133"/>
      <c r="C409" s="134"/>
      <c r="D409" s="134"/>
      <c r="E409" s="134"/>
      <c r="F409" s="134"/>
      <c r="I409" s="92"/>
      <c r="J409" s="92"/>
      <c r="K409" s="92"/>
      <c r="L409" s="92"/>
      <c r="M409" s="92"/>
      <c r="N409" s="92"/>
      <c r="O409" s="92"/>
      <c r="P409" s="92"/>
      <c r="Q409" s="92"/>
      <c r="R409" s="92"/>
      <c r="T409" s="92"/>
      <c r="U409" s="92"/>
      <c r="V409" s="92"/>
      <c r="W409" s="92"/>
      <c r="X409" s="92"/>
      <c r="Y409" s="92"/>
      <c r="Z409" s="92"/>
      <c r="AA409" s="92"/>
      <c r="AB409" s="92"/>
      <c r="AC409" s="92"/>
      <c r="AD409" s="92"/>
      <c r="AE409" s="92"/>
    </row>
    <row r="410" spans="1:31" s="26" customFormat="1">
      <c r="A410" s="145"/>
      <c r="B410" s="133"/>
      <c r="C410" s="134"/>
      <c r="D410" s="134"/>
      <c r="E410" s="134"/>
      <c r="F410" s="134"/>
      <c r="I410" s="92"/>
      <c r="J410" s="92"/>
      <c r="K410" s="92"/>
      <c r="L410" s="92"/>
      <c r="M410" s="92"/>
      <c r="N410" s="92"/>
      <c r="O410" s="92"/>
      <c r="P410" s="92"/>
      <c r="Q410" s="92"/>
      <c r="R410" s="92"/>
      <c r="T410" s="92"/>
      <c r="U410" s="92"/>
      <c r="V410" s="92"/>
      <c r="W410" s="92"/>
      <c r="X410" s="92"/>
      <c r="Y410" s="92"/>
      <c r="Z410" s="92"/>
      <c r="AA410" s="92"/>
      <c r="AB410" s="92"/>
      <c r="AC410" s="92"/>
      <c r="AD410" s="92"/>
      <c r="AE410" s="92"/>
    </row>
  </sheetData>
  <mergeCells count="38">
    <mergeCell ref="A1:I1"/>
    <mergeCell ref="O1:S1"/>
    <mergeCell ref="A2:I2"/>
    <mergeCell ref="O2:S2"/>
    <mergeCell ref="A3:S3"/>
    <mergeCell ref="A4:S4"/>
    <mergeCell ref="A5:S5"/>
    <mergeCell ref="I6:N6"/>
    <mergeCell ref="O6:R6"/>
    <mergeCell ref="I7:J7"/>
    <mergeCell ref="K7:L7"/>
    <mergeCell ref="M7:N7"/>
    <mergeCell ref="O7:P7"/>
    <mergeCell ref="Q7:R7"/>
    <mergeCell ref="S6:S10"/>
    <mergeCell ref="B51:S51"/>
    <mergeCell ref="B74:N74"/>
    <mergeCell ref="A6:A10"/>
    <mergeCell ref="B6:B10"/>
    <mergeCell ref="C6:C10"/>
    <mergeCell ref="D6:D10"/>
    <mergeCell ref="E6:E10"/>
    <mergeCell ref="F8:F10"/>
    <mergeCell ref="G9:G10"/>
    <mergeCell ref="H9:H10"/>
    <mergeCell ref="I8:I10"/>
    <mergeCell ref="J8:J10"/>
    <mergeCell ref="K8:K10"/>
    <mergeCell ref="L8:L10"/>
    <mergeCell ref="M8:M10"/>
    <mergeCell ref="T7:T9"/>
    <mergeCell ref="F6:H7"/>
    <mergeCell ref="N8:N10"/>
    <mergeCell ref="O8:O10"/>
    <mergeCell ref="P8:P10"/>
    <mergeCell ref="Q8:Q10"/>
    <mergeCell ref="R8:R10"/>
    <mergeCell ref="G8:H8"/>
  </mergeCells>
  <printOptions horizontalCentered="1"/>
  <pageMargins left="0.2" right="0.2" top="0.79" bottom="0.98" header="0.31" footer="0.31"/>
  <pageSetup paperSize="9" scale="55" fitToHeight="0" orientation="landscape"/>
  <headerFooter>
    <oddFooter>&amp;R&amp;14&amp;P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22"/>
  <sheetViews>
    <sheetView zoomScale="70" zoomScaleNormal="70" workbookViewId="0">
      <selection sqref="A1:AC1"/>
    </sheetView>
  </sheetViews>
  <sheetFormatPr defaultColWidth="9.140625" defaultRowHeight="18.75"/>
  <cols>
    <col min="1" max="1" width="6.28515625" style="145" customWidth="1"/>
    <col min="2" max="2" width="31.42578125" style="133" customWidth="1"/>
    <col min="3" max="5" width="9.7109375" style="134" customWidth="1"/>
    <col min="6" max="6" width="11.28515625" style="134" customWidth="1"/>
    <col min="7" max="7" width="9.7109375" style="26" customWidth="1"/>
    <col min="8" max="8" width="9.140625" style="26" customWidth="1"/>
    <col min="9" max="9" width="8.42578125" style="26" customWidth="1"/>
    <col min="10" max="10" width="12.42578125" style="26" customWidth="1"/>
    <col min="11" max="11" width="11" style="26" customWidth="1"/>
    <col min="12" max="12" width="8.28515625" style="26" customWidth="1"/>
    <col min="13" max="13" width="11.7109375" style="26" customWidth="1"/>
    <col min="14" max="15" width="10.7109375" style="26" customWidth="1"/>
    <col min="16" max="16" width="11.28515625" style="26" customWidth="1"/>
    <col min="17" max="17" width="8.7109375" style="26" customWidth="1"/>
    <col min="18" max="18" width="9.7109375" style="26" customWidth="1"/>
    <col min="19" max="19" width="10" style="26" customWidth="1"/>
    <col min="20" max="21" width="10.7109375" style="26" customWidth="1"/>
    <col min="22" max="22" width="8.28515625" style="26" customWidth="1"/>
    <col min="23" max="23" width="11.7109375" style="26" customWidth="1"/>
    <col min="24" max="25" width="10.7109375" style="26" customWidth="1"/>
    <col min="26" max="26" width="11.28515625" style="26" customWidth="1"/>
    <col min="27" max="27" width="8.28515625" style="26" customWidth="1"/>
    <col min="28" max="28" width="10.140625" style="26" customWidth="1"/>
    <col min="29" max="30" width="10.7109375" style="26" customWidth="1"/>
    <col min="31" max="31" width="11.28515625" style="26" customWidth="1"/>
    <col min="32" max="32" width="9" style="26" customWidth="1"/>
    <col min="33" max="33" width="10.7109375" style="26" customWidth="1"/>
    <col min="34" max="34" width="10.140625" style="26" customWidth="1"/>
    <col min="35" max="35" width="11" style="26" customWidth="1"/>
    <col min="36" max="36" width="10.7109375" style="26" customWidth="1"/>
    <col min="37" max="37" width="9.140625" style="26" hidden="1" customWidth="1"/>
    <col min="38" max="38" width="12.42578125" style="26" hidden="1" customWidth="1"/>
    <col min="39" max="39" width="9.7109375" style="26" hidden="1" customWidth="1"/>
    <col min="40" max="40" width="11.140625" style="26" hidden="1" customWidth="1"/>
    <col min="41" max="41" width="11" style="26" hidden="1" customWidth="1"/>
    <col min="42" max="46" width="9.140625" style="26" hidden="1" customWidth="1"/>
    <col min="47" max="47" width="8" style="26" customWidth="1"/>
    <col min="48" max="48" width="9.140625" style="26" customWidth="1"/>
    <col min="49" max="49" width="10.7109375" style="26" customWidth="1"/>
    <col min="50" max="50" width="10.140625" style="26" customWidth="1"/>
    <col min="51" max="51" width="10.7109375" style="26" customWidth="1"/>
    <col min="52" max="16384" width="9.140625" style="92"/>
  </cols>
  <sheetData>
    <row r="1" spans="1:52" s="142" customFormat="1" ht="39" customHeight="1">
      <c r="A1" s="1201" t="s">
        <v>241</v>
      </c>
      <c r="B1" s="1201"/>
      <c r="C1" s="1201"/>
      <c r="D1" s="1201"/>
      <c r="E1" s="1201"/>
      <c r="F1" s="1201"/>
      <c r="G1" s="1201"/>
      <c r="H1" s="1201"/>
      <c r="I1" s="1201"/>
      <c r="J1" s="1201"/>
      <c r="K1" s="1201"/>
      <c r="L1" s="1201"/>
      <c r="Q1" s="149"/>
      <c r="R1" s="149"/>
      <c r="S1" s="149"/>
      <c r="T1" s="149"/>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202"/>
      <c r="AW1" s="1202"/>
      <c r="AX1" s="1202"/>
      <c r="AY1" s="150"/>
      <c r="AZ1" s="150"/>
    </row>
    <row r="2" spans="1:52" s="142" customFormat="1" ht="39" customHeight="1">
      <c r="A2" s="1203" t="s">
        <v>2</v>
      </c>
      <c r="B2" s="1203"/>
      <c r="C2" s="1203"/>
      <c r="D2" s="1203"/>
      <c r="E2" s="1203"/>
      <c r="F2" s="1203"/>
      <c r="G2" s="1203"/>
      <c r="H2" s="1203"/>
      <c r="I2" s="1203"/>
      <c r="J2" s="1203"/>
      <c r="K2" s="1203"/>
      <c r="L2" s="1203"/>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204"/>
      <c r="AW2" s="1204"/>
      <c r="AX2" s="1204"/>
      <c r="AY2" s="150"/>
      <c r="AZ2" s="150"/>
    </row>
    <row r="3" spans="1:52" s="142" customFormat="1" ht="39" customHeight="1">
      <c r="A3" s="1279" t="s">
        <v>242</v>
      </c>
      <c r="B3" s="1279"/>
      <c r="C3" s="1279"/>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c r="AB3" s="1279"/>
      <c r="AC3" s="1279"/>
      <c r="AD3" s="1279"/>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row>
    <row r="4" spans="1:52" s="143" customFormat="1" ht="41.25" customHeight="1">
      <c r="A4" s="1271" t="s">
        <v>243</v>
      </c>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row>
    <row r="5" spans="1:52" s="144" customFormat="1" ht="33" customHeight="1">
      <c r="A5" s="1272" t="s">
        <v>6</v>
      </c>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row>
    <row r="6" spans="1:52" s="144" customFormat="1" ht="33" customHeight="1">
      <c r="A6" s="1268" t="s">
        <v>7</v>
      </c>
      <c r="B6" s="1242" t="s">
        <v>69</v>
      </c>
      <c r="C6" s="1241" t="s">
        <v>214</v>
      </c>
      <c r="D6" s="1241" t="s">
        <v>215</v>
      </c>
      <c r="E6" s="1241" t="s">
        <v>173</v>
      </c>
      <c r="F6" s="1241" t="s">
        <v>174</v>
      </c>
      <c r="G6" s="1241"/>
      <c r="H6" s="1241"/>
      <c r="I6" s="1241"/>
      <c r="J6" s="1241"/>
      <c r="K6" s="1241"/>
      <c r="L6" s="1273" t="s">
        <v>9</v>
      </c>
      <c r="M6" s="1274"/>
      <c r="N6" s="1274"/>
      <c r="O6" s="1274"/>
      <c r="P6" s="1274"/>
      <c r="Q6" s="1274"/>
      <c r="R6" s="1274"/>
      <c r="S6" s="1274"/>
      <c r="T6" s="1274"/>
      <c r="U6" s="1274"/>
      <c r="V6" s="1274"/>
      <c r="W6" s="1274"/>
      <c r="X6" s="1274"/>
      <c r="Y6" s="1274"/>
      <c r="Z6" s="1274"/>
      <c r="AA6" s="1274"/>
      <c r="AB6" s="1274"/>
      <c r="AC6" s="1274"/>
      <c r="AD6" s="1274"/>
      <c r="AE6" s="1275"/>
      <c r="AF6" s="1273" t="s">
        <v>10</v>
      </c>
      <c r="AG6" s="1274"/>
      <c r="AH6" s="1274"/>
      <c r="AI6" s="1274"/>
      <c r="AJ6" s="1274"/>
      <c r="AK6" s="1274"/>
      <c r="AL6" s="1274"/>
      <c r="AM6" s="1274"/>
      <c r="AN6" s="1274"/>
      <c r="AO6" s="1274"/>
      <c r="AP6" s="1274"/>
      <c r="AQ6" s="1274"/>
      <c r="AR6" s="1274"/>
      <c r="AS6" s="1274"/>
      <c r="AT6" s="1274"/>
      <c r="AU6" s="1274"/>
      <c r="AV6" s="1274"/>
      <c r="AW6" s="1274"/>
      <c r="AX6" s="1274"/>
      <c r="AY6" s="1275"/>
      <c r="AZ6" s="1242" t="s">
        <v>11</v>
      </c>
    </row>
    <row r="7" spans="1:52" s="130" customFormat="1" ht="71.650000000000006" customHeight="1">
      <c r="A7" s="1269"/>
      <c r="B7" s="1243"/>
      <c r="C7" s="1241"/>
      <c r="D7" s="1241"/>
      <c r="E7" s="1241"/>
      <c r="F7" s="1241"/>
      <c r="G7" s="1241"/>
      <c r="H7" s="1241"/>
      <c r="I7" s="1241"/>
      <c r="J7" s="1241"/>
      <c r="K7" s="1241"/>
      <c r="L7" s="1276" t="s">
        <v>244</v>
      </c>
      <c r="M7" s="1241"/>
      <c r="N7" s="1241"/>
      <c r="O7" s="1241"/>
      <c r="P7" s="1241"/>
      <c r="Q7" s="1277" t="s">
        <v>245</v>
      </c>
      <c r="R7" s="1278"/>
      <c r="S7" s="1278"/>
      <c r="T7" s="1278"/>
      <c r="U7" s="1278"/>
      <c r="V7" s="1241" t="s">
        <v>246</v>
      </c>
      <c r="W7" s="1241"/>
      <c r="X7" s="1241"/>
      <c r="Y7" s="1241"/>
      <c r="Z7" s="1241"/>
      <c r="AA7" s="1241" t="s">
        <v>247</v>
      </c>
      <c r="AB7" s="1241"/>
      <c r="AC7" s="1241"/>
      <c r="AD7" s="1241"/>
      <c r="AE7" s="1241"/>
      <c r="AF7" s="1241" t="s">
        <v>248</v>
      </c>
      <c r="AG7" s="1241"/>
      <c r="AH7" s="1241"/>
      <c r="AI7" s="1241"/>
      <c r="AJ7" s="1241"/>
      <c r="AK7" s="1241" t="s">
        <v>249</v>
      </c>
      <c r="AL7" s="1241"/>
      <c r="AM7" s="1241"/>
      <c r="AN7" s="1241"/>
      <c r="AO7" s="1241"/>
      <c r="AP7" s="1241"/>
      <c r="AQ7" s="1241"/>
      <c r="AR7" s="1241"/>
      <c r="AS7" s="1241"/>
      <c r="AT7" s="1241"/>
      <c r="AU7" s="1265" t="s">
        <v>250</v>
      </c>
      <c r="AV7" s="1265"/>
      <c r="AW7" s="1265"/>
      <c r="AX7" s="1265"/>
      <c r="AY7" s="1265"/>
      <c r="AZ7" s="1243"/>
    </row>
    <row r="8" spans="1:52" s="130" customFormat="1" ht="45.4" customHeight="1">
      <c r="A8" s="1269"/>
      <c r="B8" s="1243"/>
      <c r="C8" s="1241"/>
      <c r="D8" s="1241"/>
      <c r="E8" s="1241"/>
      <c r="F8" s="1241" t="s">
        <v>218</v>
      </c>
      <c r="G8" s="1241" t="s">
        <v>73</v>
      </c>
      <c r="H8" s="1241"/>
      <c r="I8" s="1241"/>
      <c r="J8" s="1241"/>
      <c r="K8" s="1241"/>
      <c r="L8" s="1241" t="s">
        <v>17</v>
      </c>
      <c r="M8" s="1241" t="s">
        <v>75</v>
      </c>
      <c r="N8" s="1241"/>
      <c r="O8" s="1241"/>
      <c r="P8" s="1241"/>
      <c r="Q8" s="1241" t="s">
        <v>17</v>
      </c>
      <c r="R8" s="1241" t="s">
        <v>75</v>
      </c>
      <c r="S8" s="1241"/>
      <c r="T8" s="1241"/>
      <c r="U8" s="1241"/>
      <c r="V8" s="1241" t="s">
        <v>17</v>
      </c>
      <c r="W8" s="1241" t="s">
        <v>75</v>
      </c>
      <c r="X8" s="1241"/>
      <c r="Y8" s="1241"/>
      <c r="Z8" s="1241"/>
      <c r="AA8" s="1241" t="s">
        <v>17</v>
      </c>
      <c r="AB8" s="1241" t="s">
        <v>75</v>
      </c>
      <c r="AC8" s="1241"/>
      <c r="AD8" s="1241"/>
      <c r="AE8" s="1241"/>
      <c r="AF8" s="1241" t="s">
        <v>17</v>
      </c>
      <c r="AG8" s="1241" t="s">
        <v>82</v>
      </c>
      <c r="AH8" s="1241"/>
      <c r="AI8" s="1241"/>
      <c r="AJ8" s="1241"/>
      <c r="AK8" s="1241" t="s">
        <v>17</v>
      </c>
      <c r="AL8" s="1241" t="s">
        <v>82</v>
      </c>
      <c r="AM8" s="1241"/>
      <c r="AN8" s="1241"/>
      <c r="AO8" s="1241"/>
      <c r="AP8" s="1241" t="s">
        <v>251</v>
      </c>
      <c r="AQ8" s="1241"/>
      <c r="AR8" s="1241"/>
      <c r="AS8" s="1241"/>
      <c r="AT8" s="1241"/>
      <c r="AU8" s="1265" t="s">
        <v>17</v>
      </c>
      <c r="AV8" s="1265"/>
      <c r="AW8" s="1265"/>
      <c r="AX8" s="1265"/>
      <c r="AY8" s="1265"/>
      <c r="AZ8" s="1243"/>
    </row>
    <row r="9" spans="1:52" s="130" customFormat="1" ht="45.4" customHeight="1">
      <c r="A9" s="1269"/>
      <c r="B9" s="1243"/>
      <c r="C9" s="1241"/>
      <c r="D9" s="1241"/>
      <c r="E9" s="1241"/>
      <c r="F9" s="1241"/>
      <c r="G9" s="1241" t="s">
        <v>74</v>
      </c>
      <c r="H9" s="1241" t="s">
        <v>75</v>
      </c>
      <c r="I9" s="1241"/>
      <c r="J9" s="1241"/>
      <c r="K9" s="1241"/>
      <c r="L9" s="1241"/>
      <c r="M9" s="1241" t="s">
        <v>252</v>
      </c>
      <c r="N9" s="1241" t="s">
        <v>253</v>
      </c>
      <c r="O9" s="1241" t="s">
        <v>254</v>
      </c>
      <c r="P9" s="1241" t="s">
        <v>255</v>
      </c>
      <c r="Q9" s="1241"/>
      <c r="R9" s="1241" t="s">
        <v>252</v>
      </c>
      <c r="S9" s="1241" t="s">
        <v>253</v>
      </c>
      <c r="T9" s="1241" t="s">
        <v>254</v>
      </c>
      <c r="U9" s="1241" t="s">
        <v>255</v>
      </c>
      <c r="V9" s="1241"/>
      <c r="W9" s="1241" t="s">
        <v>252</v>
      </c>
      <c r="X9" s="1241" t="s">
        <v>253</v>
      </c>
      <c r="Y9" s="1241" t="s">
        <v>254</v>
      </c>
      <c r="Z9" s="1241" t="s">
        <v>255</v>
      </c>
      <c r="AA9" s="1241"/>
      <c r="AB9" s="1241" t="s">
        <v>252</v>
      </c>
      <c r="AC9" s="1241" t="s">
        <v>253</v>
      </c>
      <c r="AD9" s="1241" t="s">
        <v>254</v>
      </c>
      <c r="AE9" s="1241" t="s">
        <v>255</v>
      </c>
      <c r="AF9" s="1241"/>
      <c r="AG9" s="1241" t="s">
        <v>252</v>
      </c>
      <c r="AH9" s="1241" t="s">
        <v>253</v>
      </c>
      <c r="AI9" s="1241" t="s">
        <v>254</v>
      </c>
      <c r="AJ9" s="1241" t="s">
        <v>255</v>
      </c>
      <c r="AK9" s="1241"/>
      <c r="AL9" s="1241" t="s">
        <v>252</v>
      </c>
      <c r="AM9" s="1241" t="s">
        <v>253</v>
      </c>
      <c r="AN9" s="1241" t="s">
        <v>254</v>
      </c>
      <c r="AO9" s="1241" t="s">
        <v>255</v>
      </c>
      <c r="AP9" s="1266" t="s">
        <v>256</v>
      </c>
      <c r="AQ9" s="1266" t="s">
        <v>257</v>
      </c>
      <c r="AR9" s="1266" t="s">
        <v>258</v>
      </c>
      <c r="AS9" s="1266" t="s">
        <v>259</v>
      </c>
      <c r="AT9" s="1266" t="s">
        <v>260</v>
      </c>
      <c r="AU9" s="1265"/>
      <c r="AV9" s="1265" t="s">
        <v>26</v>
      </c>
      <c r="AW9" s="1265"/>
      <c r="AX9" s="1265" t="s">
        <v>261</v>
      </c>
      <c r="AY9" s="1265"/>
      <c r="AZ9" s="1243"/>
    </row>
    <row r="10" spans="1:52" s="130" customFormat="1" ht="127.9" customHeight="1">
      <c r="A10" s="1270"/>
      <c r="B10" s="1244"/>
      <c r="C10" s="1241"/>
      <c r="D10" s="1241"/>
      <c r="E10" s="1241"/>
      <c r="F10" s="1241"/>
      <c r="G10" s="1257"/>
      <c r="H10" s="146" t="s">
        <v>25</v>
      </c>
      <c r="I10" s="2" t="s">
        <v>26</v>
      </c>
      <c r="J10" s="146" t="s">
        <v>252</v>
      </c>
      <c r="K10" s="2" t="s">
        <v>261</v>
      </c>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67"/>
      <c r="AQ10" s="1267"/>
      <c r="AR10" s="1267"/>
      <c r="AS10" s="1267"/>
      <c r="AT10" s="1267"/>
      <c r="AU10" s="1265"/>
      <c r="AV10" s="1" t="s">
        <v>17</v>
      </c>
      <c r="AW10" s="1" t="s">
        <v>262</v>
      </c>
      <c r="AX10" s="1" t="s">
        <v>17</v>
      </c>
      <c r="AY10" s="1" t="s">
        <v>262</v>
      </c>
      <c r="AZ10" s="1244"/>
    </row>
    <row r="11" spans="1:52" s="131" customFormat="1" ht="30.75" customHeight="1">
      <c r="A11" s="147">
        <v>1</v>
      </c>
      <c r="B11" s="2">
        <f>A11+1</f>
        <v>2</v>
      </c>
      <c r="C11" s="2">
        <f t="shared" ref="C11:AT11" si="0">B11+1</f>
        <v>3</v>
      </c>
      <c r="D11" s="2">
        <f t="shared" si="0"/>
        <v>4</v>
      </c>
      <c r="E11" s="2">
        <f t="shared" si="0"/>
        <v>5</v>
      </c>
      <c r="F11" s="2">
        <f t="shared" si="0"/>
        <v>6</v>
      </c>
      <c r="G11" s="2">
        <f t="shared" si="0"/>
        <v>7</v>
      </c>
      <c r="H11" s="2">
        <f t="shared" si="0"/>
        <v>8</v>
      </c>
      <c r="I11" s="2">
        <f t="shared" si="0"/>
        <v>9</v>
      </c>
      <c r="J11" s="2">
        <f t="shared" si="0"/>
        <v>10</v>
      </c>
      <c r="K11" s="2">
        <f t="shared" si="0"/>
        <v>11</v>
      </c>
      <c r="L11" s="2">
        <f t="shared" si="0"/>
        <v>12</v>
      </c>
      <c r="M11" s="2">
        <f t="shared" si="0"/>
        <v>13</v>
      </c>
      <c r="N11" s="2">
        <f t="shared" si="0"/>
        <v>14</v>
      </c>
      <c r="O11" s="2">
        <f t="shared" si="0"/>
        <v>15</v>
      </c>
      <c r="P11" s="2">
        <f t="shared" si="0"/>
        <v>16</v>
      </c>
      <c r="Q11" s="2">
        <f t="shared" si="0"/>
        <v>17</v>
      </c>
      <c r="R11" s="2">
        <f t="shared" si="0"/>
        <v>18</v>
      </c>
      <c r="S11" s="2">
        <v>19</v>
      </c>
      <c r="T11" s="2">
        <v>20</v>
      </c>
      <c r="U11" s="2">
        <v>21</v>
      </c>
      <c r="V11" s="2">
        <v>22</v>
      </c>
      <c r="W11" s="2">
        <v>23</v>
      </c>
      <c r="X11" s="2">
        <v>24</v>
      </c>
      <c r="Y11" s="2">
        <v>25</v>
      </c>
      <c r="Z11" s="2">
        <v>26</v>
      </c>
      <c r="AA11" s="2">
        <v>27</v>
      </c>
      <c r="AB11" s="2">
        <v>28</v>
      </c>
      <c r="AC11" s="2">
        <v>29</v>
      </c>
      <c r="AD11" s="2">
        <v>30</v>
      </c>
      <c r="AE11" s="2">
        <v>31</v>
      </c>
      <c r="AF11" s="2">
        <v>32</v>
      </c>
      <c r="AG11" s="2">
        <v>33</v>
      </c>
      <c r="AH11" s="2">
        <v>34</v>
      </c>
      <c r="AI11" s="2">
        <v>35</v>
      </c>
      <c r="AJ11" s="2">
        <v>36</v>
      </c>
      <c r="AK11" s="2">
        <f t="shared" si="0"/>
        <v>37</v>
      </c>
      <c r="AL11" s="2">
        <f t="shared" si="0"/>
        <v>38</v>
      </c>
      <c r="AM11" s="2">
        <f t="shared" si="0"/>
        <v>39</v>
      </c>
      <c r="AN11" s="2">
        <f t="shared" si="0"/>
        <v>40</v>
      </c>
      <c r="AO11" s="2">
        <f t="shared" si="0"/>
        <v>41</v>
      </c>
      <c r="AP11" s="2">
        <f t="shared" si="0"/>
        <v>42</v>
      </c>
      <c r="AQ11" s="2">
        <f t="shared" si="0"/>
        <v>43</v>
      </c>
      <c r="AR11" s="2">
        <f t="shared" si="0"/>
        <v>44</v>
      </c>
      <c r="AS11" s="2">
        <f t="shared" si="0"/>
        <v>45</v>
      </c>
      <c r="AT11" s="2">
        <f t="shared" si="0"/>
        <v>46</v>
      </c>
      <c r="AU11" s="2">
        <v>37</v>
      </c>
      <c r="AV11" s="2">
        <v>38</v>
      </c>
      <c r="AW11" s="2">
        <v>39</v>
      </c>
      <c r="AX11" s="2">
        <v>40</v>
      </c>
      <c r="AY11" s="2">
        <v>41</v>
      </c>
      <c r="AZ11" s="2">
        <v>42</v>
      </c>
    </row>
    <row r="12" spans="1:52" s="131" customFormat="1" ht="40.5" customHeight="1">
      <c r="A12" s="148"/>
      <c r="B12" s="135" t="s">
        <v>27</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151"/>
    </row>
    <row r="13" spans="1:52" ht="58.15" customHeight="1">
      <c r="A13" s="15" t="s">
        <v>95</v>
      </c>
      <c r="B13" s="17" t="s">
        <v>220</v>
      </c>
      <c r="C13" s="105"/>
      <c r="D13" s="105"/>
      <c r="E13" s="105"/>
      <c r="F13" s="105"/>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21"/>
    </row>
    <row r="14" spans="1:52" ht="81.75" customHeight="1">
      <c r="A14" s="15" t="s">
        <v>28</v>
      </c>
      <c r="B14" s="104" t="s">
        <v>187</v>
      </c>
      <c r="C14" s="105"/>
      <c r="D14" s="105"/>
      <c r="E14" s="105"/>
      <c r="F14" s="105"/>
      <c r="G14" s="106"/>
      <c r="H14" s="106"/>
      <c r="I14" s="106"/>
      <c r="J14" s="106"/>
      <c r="K14" s="106"/>
      <c r="L14" s="106"/>
      <c r="M14" s="106"/>
      <c r="N14" s="106"/>
      <c r="O14" s="106"/>
      <c r="P14" s="106"/>
      <c r="Q14" s="106"/>
      <c r="R14" s="121"/>
      <c r="S14" s="121"/>
      <c r="T14" s="121"/>
      <c r="U14" s="121"/>
      <c r="V14" s="106"/>
      <c r="W14" s="106"/>
      <c r="X14" s="106"/>
      <c r="Y14" s="106"/>
      <c r="Z14" s="106"/>
      <c r="AA14" s="106"/>
      <c r="AB14" s="106"/>
      <c r="AC14" s="106"/>
      <c r="AD14" s="106"/>
      <c r="AE14" s="106"/>
      <c r="AF14" s="121"/>
      <c r="AG14" s="121"/>
      <c r="AH14" s="121"/>
      <c r="AI14" s="121"/>
      <c r="AJ14" s="121"/>
      <c r="AK14" s="121"/>
      <c r="AL14" s="121"/>
      <c r="AM14" s="121"/>
      <c r="AN14" s="121"/>
      <c r="AO14" s="121"/>
      <c r="AP14" s="121"/>
      <c r="AQ14" s="121"/>
      <c r="AR14" s="121"/>
      <c r="AS14" s="121"/>
      <c r="AT14" s="121"/>
      <c r="AU14" s="121"/>
      <c r="AV14" s="121"/>
      <c r="AW14" s="121"/>
      <c r="AX14" s="121"/>
      <c r="AY14" s="121"/>
      <c r="AZ14" s="121"/>
    </row>
    <row r="15" spans="1:52" s="93" customFormat="1" ht="75" customHeight="1">
      <c r="A15" s="107" t="s">
        <v>188</v>
      </c>
      <c r="B15" s="108" t="s">
        <v>189</v>
      </c>
      <c r="C15" s="109"/>
      <c r="D15" s="109"/>
      <c r="E15" s="109"/>
      <c r="F15" s="109"/>
      <c r="G15" s="110"/>
      <c r="H15" s="110"/>
      <c r="I15" s="110"/>
      <c r="J15" s="110"/>
      <c r="K15" s="110"/>
      <c r="L15" s="110"/>
      <c r="M15" s="110"/>
      <c r="N15" s="110"/>
      <c r="O15" s="110"/>
      <c r="P15" s="110"/>
      <c r="Q15" s="110"/>
      <c r="R15" s="122"/>
      <c r="S15" s="122"/>
      <c r="T15" s="122"/>
      <c r="U15" s="122"/>
      <c r="V15" s="110"/>
      <c r="W15" s="110"/>
      <c r="X15" s="110"/>
      <c r="Y15" s="110"/>
      <c r="Z15" s="110"/>
      <c r="AA15" s="110"/>
      <c r="AB15" s="110"/>
      <c r="AC15" s="110"/>
      <c r="AD15" s="110"/>
      <c r="AE15" s="110"/>
      <c r="AF15" s="122"/>
      <c r="AG15" s="122"/>
      <c r="AH15" s="122"/>
      <c r="AI15" s="122"/>
      <c r="AJ15" s="122"/>
      <c r="AK15" s="122"/>
      <c r="AL15" s="122"/>
      <c r="AM15" s="122"/>
      <c r="AN15" s="122"/>
      <c r="AO15" s="122"/>
      <c r="AP15" s="122"/>
      <c r="AQ15" s="122"/>
      <c r="AR15" s="122"/>
      <c r="AS15" s="122"/>
      <c r="AT15" s="122"/>
      <c r="AU15" s="122"/>
      <c r="AV15" s="122"/>
      <c r="AW15" s="122"/>
      <c r="AX15" s="122"/>
      <c r="AY15" s="122"/>
      <c r="AZ15" s="122"/>
    </row>
    <row r="16" spans="1:52" ht="32.65" customHeight="1">
      <c r="A16" s="111" t="s">
        <v>190</v>
      </c>
      <c r="B16" s="20" t="s">
        <v>191</v>
      </c>
      <c r="C16" s="105"/>
      <c r="D16" s="105"/>
      <c r="E16" s="105"/>
      <c r="F16" s="105"/>
      <c r="G16" s="106"/>
      <c r="H16" s="106"/>
      <c r="I16" s="106"/>
      <c r="J16" s="106"/>
      <c r="K16" s="106"/>
      <c r="L16" s="106"/>
      <c r="M16" s="106"/>
      <c r="N16" s="106"/>
      <c r="O16" s="106"/>
      <c r="P16" s="106"/>
      <c r="Q16" s="106"/>
      <c r="R16" s="121"/>
      <c r="S16" s="121"/>
      <c r="T16" s="121"/>
      <c r="U16" s="121"/>
      <c r="V16" s="106"/>
      <c r="W16" s="106"/>
      <c r="X16" s="106"/>
      <c r="Y16" s="106"/>
      <c r="Z16" s="106"/>
      <c r="AA16" s="106"/>
      <c r="AB16" s="106"/>
      <c r="AC16" s="106"/>
      <c r="AD16" s="106"/>
      <c r="AE16" s="106"/>
      <c r="AF16" s="121"/>
      <c r="AG16" s="121"/>
      <c r="AH16" s="121"/>
      <c r="AI16" s="121"/>
      <c r="AJ16" s="121"/>
      <c r="AK16" s="121"/>
      <c r="AL16" s="121"/>
      <c r="AM16" s="121"/>
      <c r="AN16" s="121"/>
      <c r="AO16" s="121"/>
      <c r="AP16" s="121"/>
      <c r="AQ16" s="121"/>
      <c r="AR16" s="121"/>
      <c r="AS16" s="121"/>
      <c r="AT16" s="121"/>
      <c r="AU16" s="121"/>
      <c r="AV16" s="121"/>
      <c r="AW16" s="121"/>
      <c r="AX16" s="121"/>
      <c r="AY16" s="121"/>
      <c r="AZ16" s="121"/>
    </row>
    <row r="17" spans="1:52" ht="32.65" customHeight="1">
      <c r="A17" s="111" t="s">
        <v>192</v>
      </c>
      <c r="B17" s="189" t="s">
        <v>193</v>
      </c>
      <c r="C17" s="105"/>
      <c r="D17" s="105"/>
      <c r="E17" s="105"/>
      <c r="F17" s="105"/>
      <c r="G17" s="106"/>
      <c r="H17" s="106"/>
      <c r="I17" s="106"/>
      <c r="J17" s="106"/>
      <c r="K17" s="106"/>
      <c r="L17" s="106"/>
      <c r="M17" s="106"/>
      <c r="N17" s="106"/>
      <c r="O17" s="106"/>
      <c r="P17" s="106"/>
      <c r="Q17" s="106"/>
      <c r="R17" s="121"/>
      <c r="S17" s="121"/>
      <c r="T17" s="121"/>
      <c r="U17" s="121"/>
      <c r="V17" s="106"/>
      <c r="W17" s="106"/>
      <c r="X17" s="106"/>
      <c r="Y17" s="106"/>
      <c r="Z17" s="106"/>
      <c r="AA17" s="106"/>
      <c r="AB17" s="106"/>
      <c r="AC17" s="106"/>
      <c r="AD17" s="106"/>
      <c r="AE17" s="106"/>
      <c r="AF17" s="121"/>
      <c r="AG17" s="121"/>
      <c r="AH17" s="121"/>
      <c r="AI17" s="121"/>
      <c r="AJ17" s="121"/>
      <c r="AK17" s="121"/>
      <c r="AL17" s="121"/>
      <c r="AM17" s="121"/>
      <c r="AN17" s="121"/>
      <c r="AO17" s="121"/>
      <c r="AP17" s="121"/>
      <c r="AQ17" s="121"/>
      <c r="AR17" s="121"/>
      <c r="AS17" s="121"/>
      <c r="AT17" s="121"/>
      <c r="AU17" s="121"/>
      <c r="AV17" s="121"/>
      <c r="AW17" s="121"/>
      <c r="AX17" s="121"/>
      <c r="AY17" s="121"/>
      <c r="AZ17" s="121"/>
    </row>
    <row r="18" spans="1:52" s="93" customFormat="1" ht="93.75" customHeight="1">
      <c r="A18" s="107" t="s">
        <v>194</v>
      </c>
      <c r="B18" s="108" t="s">
        <v>195</v>
      </c>
      <c r="C18" s="109"/>
      <c r="D18" s="109"/>
      <c r="E18" s="109"/>
      <c r="F18" s="109"/>
      <c r="G18" s="110"/>
      <c r="H18" s="110"/>
      <c r="I18" s="110"/>
      <c r="J18" s="110"/>
      <c r="K18" s="110"/>
      <c r="L18" s="110"/>
      <c r="M18" s="110"/>
      <c r="N18" s="110"/>
      <c r="O18" s="110"/>
      <c r="P18" s="110"/>
      <c r="Q18" s="110"/>
      <c r="R18" s="122"/>
      <c r="S18" s="122"/>
      <c r="T18" s="122"/>
      <c r="U18" s="122"/>
      <c r="V18" s="110"/>
      <c r="W18" s="110"/>
      <c r="X18" s="110"/>
      <c r="Y18" s="110"/>
      <c r="Z18" s="110"/>
      <c r="AA18" s="110"/>
      <c r="AB18" s="110"/>
      <c r="AC18" s="110"/>
      <c r="AD18" s="110"/>
      <c r="AE18" s="110"/>
      <c r="AF18" s="122"/>
      <c r="AG18" s="122"/>
      <c r="AH18" s="122"/>
      <c r="AI18" s="122"/>
      <c r="AJ18" s="122"/>
      <c r="AK18" s="122"/>
      <c r="AL18" s="122"/>
      <c r="AM18" s="122"/>
      <c r="AN18" s="122"/>
      <c r="AO18" s="122"/>
      <c r="AP18" s="122"/>
      <c r="AQ18" s="122"/>
      <c r="AR18" s="122"/>
      <c r="AS18" s="122"/>
      <c r="AT18" s="122"/>
      <c r="AU18" s="122"/>
      <c r="AV18" s="122"/>
      <c r="AW18" s="122"/>
      <c r="AX18" s="122"/>
      <c r="AY18" s="122"/>
      <c r="AZ18" s="122"/>
    </row>
    <row r="19" spans="1:52" s="94" customFormat="1" ht="58.5" customHeight="1">
      <c r="A19" s="111"/>
      <c r="B19" s="20" t="s">
        <v>196</v>
      </c>
      <c r="C19" s="112"/>
      <c r="D19" s="112"/>
      <c r="E19" s="112"/>
      <c r="F19" s="112"/>
      <c r="G19" s="113"/>
      <c r="H19" s="113"/>
      <c r="I19" s="113"/>
      <c r="J19" s="113"/>
      <c r="K19" s="113"/>
      <c r="L19" s="113"/>
      <c r="M19" s="113"/>
      <c r="N19" s="113"/>
      <c r="O19" s="113"/>
      <c r="P19" s="113"/>
      <c r="Q19" s="113"/>
      <c r="R19" s="123"/>
      <c r="S19" s="123"/>
      <c r="T19" s="123"/>
      <c r="U19" s="123"/>
      <c r="V19" s="113"/>
      <c r="W19" s="113"/>
      <c r="X19" s="113"/>
      <c r="Y19" s="113"/>
      <c r="Z19" s="113"/>
      <c r="AA19" s="113"/>
      <c r="AB19" s="113"/>
      <c r="AC19" s="113"/>
      <c r="AD19" s="113"/>
      <c r="AE19" s="113"/>
      <c r="AF19" s="123"/>
      <c r="AG19" s="123"/>
      <c r="AH19" s="123"/>
      <c r="AI19" s="123"/>
      <c r="AJ19" s="123"/>
      <c r="AK19" s="123"/>
      <c r="AL19" s="123"/>
      <c r="AM19" s="123"/>
      <c r="AN19" s="123"/>
      <c r="AO19" s="123"/>
      <c r="AP19" s="123"/>
      <c r="AQ19" s="123"/>
      <c r="AR19" s="123"/>
      <c r="AS19" s="123"/>
      <c r="AT19" s="123"/>
      <c r="AU19" s="123"/>
      <c r="AV19" s="123"/>
      <c r="AW19" s="123"/>
      <c r="AX19" s="123"/>
      <c r="AY19" s="123"/>
      <c r="AZ19" s="123"/>
    </row>
    <row r="20" spans="1:52" s="95" customFormat="1" ht="66.75" customHeight="1">
      <c r="A20" s="107" t="s">
        <v>197</v>
      </c>
      <c r="B20" s="108" t="s">
        <v>198</v>
      </c>
      <c r="C20" s="114"/>
      <c r="D20" s="114"/>
      <c r="E20" s="114"/>
      <c r="F20" s="114"/>
      <c r="G20" s="115"/>
      <c r="H20" s="115"/>
      <c r="I20" s="115"/>
      <c r="J20" s="115"/>
      <c r="K20" s="115"/>
      <c r="L20" s="115"/>
      <c r="M20" s="115"/>
      <c r="N20" s="115"/>
      <c r="O20" s="115"/>
      <c r="P20" s="115"/>
      <c r="Q20" s="115"/>
      <c r="R20" s="124"/>
      <c r="S20" s="124"/>
      <c r="T20" s="124"/>
      <c r="U20" s="124"/>
      <c r="V20" s="115"/>
      <c r="W20" s="115"/>
      <c r="X20" s="115"/>
      <c r="Y20" s="115"/>
      <c r="Z20" s="115"/>
      <c r="AA20" s="115"/>
      <c r="AB20" s="115"/>
      <c r="AC20" s="115"/>
      <c r="AD20" s="115"/>
      <c r="AE20" s="115"/>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1:52" s="95" customFormat="1" ht="88.9" customHeight="1">
      <c r="A21" s="107"/>
      <c r="B21" s="190" t="s">
        <v>199</v>
      </c>
      <c r="C21" s="114"/>
      <c r="D21" s="114"/>
      <c r="E21" s="114"/>
      <c r="F21" s="114"/>
      <c r="G21" s="115"/>
      <c r="H21" s="115"/>
      <c r="I21" s="115"/>
      <c r="J21" s="115"/>
      <c r="K21" s="115"/>
      <c r="L21" s="115"/>
      <c r="M21" s="115"/>
      <c r="N21" s="115"/>
      <c r="O21" s="115"/>
      <c r="P21" s="115"/>
      <c r="Q21" s="115"/>
      <c r="R21" s="124"/>
      <c r="S21" s="124"/>
      <c r="T21" s="124"/>
      <c r="U21" s="124"/>
      <c r="V21" s="115"/>
      <c r="W21" s="115"/>
      <c r="X21" s="115"/>
      <c r="Y21" s="115"/>
      <c r="Z21" s="115"/>
      <c r="AA21" s="115"/>
      <c r="AB21" s="115"/>
      <c r="AC21" s="115"/>
      <c r="AD21" s="115"/>
      <c r="AE21" s="115"/>
      <c r="AF21" s="124"/>
      <c r="AG21" s="124"/>
      <c r="AH21" s="124"/>
      <c r="AI21" s="124"/>
      <c r="AJ21" s="124"/>
      <c r="AK21" s="124"/>
      <c r="AL21" s="124"/>
      <c r="AM21" s="124"/>
      <c r="AN21" s="124"/>
      <c r="AO21" s="124"/>
      <c r="AP21" s="124"/>
      <c r="AQ21" s="124"/>
      <c r="AR21" s="124"/>
      <c r="AS21" s="124"/>
      <c r="AT21" s="124"/>
      <c r="AU21" s="124"/>
      <c r="AV21" s="124"/>
      <c r="AW21" s="124"/>
      <c r="AX21" s="124"/>
      <c r="AY21" s="124"/>
      <c r="AZ21" s="124"/>
    </row>
    <row r="22" spans="1:52" s="95" customFormat="1" ht="50.25" customHeight="1">
      <c r="A22" s="107"/>
      <c r="B22" s="20" t="s">
        <v>196</v>
      </c>
      <c r="C22" s="114"/>
      <c r="D22" s="114"/>
      <c r="E22" s="114"/>
      <c r="F22" s="114"/>
      <c r="G22" s="115"/>
      <c r="H22" s="115"/>
      <c r="I22" s="115"/>
      <c r="J22" s="115"/>
      <c r="K22" s="115"/>
      <c r="L22" s="115"/>
      <c r="M22" s="115"/>
      <c r="N22" s="115"/>
      <c r="O22" s="115"/>
      <c r="P22" s="115"/>
      <c r="Q22" s="115"/>
      <c r="R22" s="124"/>
      <c r="S22" s="124"/>
      <c r="T22" s="124"/>
      <c r="U22" s="124"/>
      <c r="V22" s="115"/>
      <c r="W22" s="115"/>
      <c r="X22" s="115"/>
      <c r="Y22" s="115"/>
      <c r="Z22" s="115"/>
      <c r="AA22" s="115"/>
      <c r="AB22" s="115"/>
      <c r="AC22" s="115"/>
      <c r="AD22" s="115"/>
      <c r="AE22" s="115"/>
      <c r="AF22" s="124"/>
      <c r="AG22" s="124"/>
      <c r="AH22" s="124"/>
      <c r="AI22" s="124"/>
      <c r="AJ22" s="124"/>
      <c r="AK22" s="124"/>
      <c r="AL22" s="124"/>
      <c r="AM22" s="124"/>
      <c r="AN22" s="124"/>
      <c r="AO22" s="124"/>
      <c r="AP22" s="124"/>
      <c r="AQ22" s="124"/>
      <c r="AR22" s="124"/>
      <c r="AS22" s="124"/>
      <c r="AT22" s="124"/>
      <c r="AU22" s="124"/>
      <c r="AV22" s="124"/>
      <c r="AW22" s="124"/>
      <c r="AX22" s="124"/>
      <c r="AY22" s="124"/>
      <c r="AZ22" s="124"/>
    </row>
    <row r="23" spans="1:52" s="93" customFormat="1" ht="53.25" customHeight="1">
      <c r="A23" s="107"/>
      <c r="B23" s="190" t="s">
        <v>200</v>
      </c>
      <c r="C23" s="109"/>
      <c r="D23" s="109"/>
      <c r="E23" s="109"/>
      <c r="F23" s="109"/>
      <c r="G23" s="110"/>
      <c r="H23" s="110"/>
      <c r="I23" s="110"/>
      <c r="J23" s="110"/>
      <c r="K23" s="110"/>
      <c r="L23" s="110"/>
      <c r="M23" s="110"/>
      <c r="N23" s="110"/>
      <c r="O23" s="110"/>
      <c r="P23" s="110"/>
      <c r="Q23" s="110"/>
      <c r="R23" s="122"/>
      <c r="S23" s="122"/>
      <c r="T23" s="122"/>
      <c r="U23" s="122"/>
      <c r="V23" s="110"/>
      <c r="W23" s="110"/>
      <c r="X23" s="110"/>
      <c r="Y23" s="110"/>
      <c r="Z23" s="110"/>
      <c r="AA23" s="110"/>
      <c r="AB23" s="110"/>
      <c r="AC23" s="110"/>
      <c r="AD23" s="110"/>
      <c r="AE23" s="110"/>
      <c r="AF23" s="122"/>
      <c r="AG23" s="122"/>
      <c r="AH23" s="122"/>
      <c r="AI23" s="122"/>
      <c r="AJ23" s="122"/>
      <c r="AK23" s="122"/>
      <c r="AL23" s="122"/>
      <c r="AM23" s="122"/>
      <c r="AN23" s="122"/>
      <c r="AO23" s="122"/>
      <c r="AP23" s="122"/>
      <c r="AQ23" s="122"/>
      <c r="AR23" s="122"/>
      <c r="AS23" s="122"/>
      <c r="AT23" s="122"/>
      <c r="AU23" s="122"/>
      <c r="AV23" s="122"/>
      <c r="AW23" s="122"/>
      <c r="AX23" s="122"/>
      <c r="AY23" s="122"/>
      <c r="AZ23" s="122"/>
    </row>
    <row r="24" spans="1:52" s="94" customFormat="1" ht="51.75" customHeight="1">
      <c r="A24" s="111"/>
      <c r="B24" s="20" t="s">
        <v>196</v>
      </c>
      <c r="C24" s="112"/>
      <c r="D24" s="112"/>
      <c r="E24" s="112"/>
      <c r="F24" s="112"/>
      <c r="G24" s="113"/>
      <c r="H24" s="113"/>
      <c r="I24" s="113"/>
      <c r="J24" s="113"/>
      <c r="K24" s="113"/>
      <c r="L24" s="113"/>
      <c r="M24" s="113"/>
      <c r="N24" s="113"/>
      <c r="O24" s="113"/>
      <c r="P24" s="113"/>
      <c r="Q24" s="113"/>
      <c r="R24" s="123"/>
      <c r="S24" s="123"/>
      <c r="T24" s="123"/>
      <c r="U24" s="123"/>
      <c r="V24" s="113"/>
      <c r="W24" s="113"/>
      <c r="X24" s="113"/>
      <c r="Y24" s="113"/>
      <c r="Z24" s="113"/>
      <c r="AA24" s="113"/>
      <c r="AB24" s="113"/>
      <c r="AC24" s="113"/>
      <c r="AD24" s="113"/>
      <c r="AE24" s="113"/>
      <c r="AF24" s="123"/>
      <c r="AG24" s="123"/>
      <c r="AH24" s="123"/>
      <c r="AI24" s="123"/>
      <c r="AJ24" s="123"/>
      <c r="AK24" s="123"/>
      <c r="AL24" s="123"/>
      <c r="AM24" s="123"/>
      <c r="AN24" s="123"/>
      <c r="AO24" s="123"/>
      <c r="AP24" s="123"/>
      <c r="AQ24" s="123"/>
      <c r="AR24" s="123"/>
      <c r="AS24" s="123"/>
      <c r="AT24" s="123"/>
      <c r="AU24" s="123"/>
      <c r="AV24" s="123"/>
      <c r="AW24" s="123"/>
      <c r="AX24" s="123"/>
      <c r="AY24" s="123"/>
      <c r="AZ24" s="123"/>
    </row>
    <row r="25" spans="1:52" s="95" customFormat="1" ht="72" customHeight="1">
      <c r="A25" s="107" t="s">
        <v>221</v>
      </c>
      <c r="B25" s="108" t="s">
        <v>222</v>
      </c>
      <c r="C25" s="114"/>
      <c r="D25" s="114"/>
      <c r="E25" s="114"/>
      <c r="F25" s="114"/>
      <c r="G25" s="115"/>
      <c r="H25" s="115"/>
      <c r="I25" s="115"/>
      <c r="J25" s="115"/>
      <c r="K25" s="115"/>
      <c r="L25" s="115"/>
      <c r="M25" s="115"/>
      <c r="N25" s="115"/>
      <c r="O25" s="115"/>
      <c r="P25" s="115"/>
      <c r="Q25" s="115"/>
      <c r="R25" s="124"/>
      <c r="S25" s="124"/>
      <c r="T25" s="124"/>
      <c r="U25" s="124"/>
      <c r="V25" s="115"/>
      <c r="W25" s="115"/>
      <c r="X25" s="115"/>
      <c r="Y25" s="115"/>
      <c r="Z25" s="115"/>
      <c r="AA25" s="115"/>
      <c r="AB25" s="115"/>
      <c r="AC25" s="115"/>
      <c r="AD25" s="115"/>
      <c r="AE25" s="115"/>
      <c r="AF25" s="124"/>
      <c r="AG25" s="124"/>
      <c r="AH25" s="124"/>
      <c r="AI25" s="124"/>
      <c r="AJ25" s="124"/>
      <c r="AK25" s="124"/>
      <c r="AL25" s="124"/>
      <c r="AM25" s="124"/>
      <c r="AN25" s="124"/>
      <c r="AO25" s="124"/>
      <c r="AP25" s="124"/>
      <c r="AQ25" s="124"/>
      <c r="AR25" s="124"/>
      <c r="AS25" s="124"/>
      <c r="AT25" s="124"/>
      <c r="AU25" s="124"/>
      <c r="AV25" s="124"/>
      <c r="AW25" s="124"/>
      <c r="AX25" s="124"/>
      <c r="AY25" s="124"/>
      <c r="AZ25" s="124"/>
    </row>
    <row r="26" spans="1:52" s="95" customFormat="1" ht="78.75" customHeight="1">
      <c r="A26" s="107"/>
      <c r="B26" s="190" t="s">
        <v>223</v>
      </c>
      <c r="C26" s="114"/>
      <c r="D26" s="114"/>
      <c r="E26" s="114"/>
      <c r="F26" s="114"/>
      <c r="G26" s="115"/>
      <c r="H26" s="115"/>
      <c r="I26" s="115"/>
      <c r="J26" s="115"/>
      <c r="K26" s="115"/>
      <c r="L26" s="115"/>
      <c r="M26" s="115"/>
      <c r="N26" s="115"/>
      <c r="O26" s="115"/>
      <c r="P26" s="115"/>
      <c r="Q26" s="115"/>
      <c r="R26" s="124"/>
      <c r="S26" s="124"/>
      <c r="T26" s="124"/>
      <c r="U26" s="124"/>
      <c r="V26" s="115"/>
      <c r="W26" s="115"/>
      <c r="X26" s="115"/>
      <c r="Y26" s="115"/>
      <c r="Z26" s="115"/>
      <c r="AA26" s="115"/>
      <c r="AB26" s="115"/>
      <c r="AC26" s="115"/>
      <c r="AD26" s="115"/>
      <c r="AE26" s="115"/>
      <c r="AF26" s="124"/>
      <c r="AG26" s="124"/>
      <c r="AH26" s="124"/>
      <c r="AI26" s="124"/>
      <c r="AJ26" s="124"/>
      <c r="AK26" s="124"/>
      <c r="AL26" s="124"/>
      <c r="AM26" s="124"/>
      <c r="AN26" s="124"/>
      <c r="AO26" s="124"/>
      <c r="AP26" s="124"/>
      <c r="AQ26" s="124"/>
      <c r="AR26" s="124"/>
      <c r="AS26" s="124"/>
      <c r="AT26" s="124"/>
      <c r="AU26" s="124"/>
      <c r="AV26" s="124"/>
      <c r="AW26" s="124"/>
      <c r="AX26" s="124"/>
      <c r="AY26" s="124"/>
      <c r="AZ26" s="124"/>
    </row>
    <row r="27" spans="1:52" s="94" customFormat="1" ht="48" customHeight="1">
      <c r="A27" s="111"/>
      <c r="B27" s="20" t="s">
        <v>196</v>
      </c>
      <c r="C27" s="112"/>
      <c r="D27" s="112"/>
      <c r="E27" s="112"/>
      <c r="F27" s="112"/>
      <c r="G27" s="113"/>
      <c r="H27" s="113"/>
      <c r="I27" s="113"/>
      <c r="J27" s="113"/>
      <c r="K27" s="113"/>
      <c r="L27" s="113"/>
      <c r="M27" s="113"/>
      <c r="N27" s="113"/>
      <c r="O27" s="113"/>
      <c r="P27" s="113"/>
      <c r="Q27" s="113"/>
      <c r="R27" s="123"/>
      <c r="S27" s="123"/>
      <c r="T27" s="123"/>
      <c r="U27" s="123"/>
      <c r="V27" s="113"/>
      <c r="W27" s="113"/>
      <c r="X27" s="113"/>
      <c r="Y27" s="113"/>
      <c r="Z27" s="113"/>
      <c r="AA27" s="113"/>
      <c r="AB27" s="113"/>
      <c r="AC27" s="113"/>
      <c r="AD27" s="113"/>
      <c r="AE27" s="113"/>
      <c r="AF27" s="123"/>
      <c r="AG27" s="123"/>
      <c r="AH27" s="123"/>
      <c r="AI27" s="123"/>
      <c r="AJ27" s="123"/>
      <c r="AK27" s="123"/>
      <c r="AL27" s="123"/>
      <c r="AM27" s="123"/>
      <c r="AN27" s="123"/>
      <c r="AO27" s="123"/>
      <c r="AP27" s="123"/>
      <c r="AQ27" s="123"/>
      <c r="AR27" s="123"/>
      <c r="AS27" s="123"/>
      <c r="AT27" s="123"/>
      <c r="AU27" s="123"/>
      <c r="AV27" s="123"/>
      <c r="AW27" s="123"/>
      <c r="AX27" s="123"/>
      <c r="AY27" s="123"/>
      <c r="AZ27" s="123"/>
    </row>
    <row r="28" spans="1:52" s="95" customFormat="1" ht="54" customHeight="1">
      <c r="A28" s="107"/>
      <c r="B28" s="190" t="s">
        <v>224</v>
      </c>
      <c r="C28" s="114"/>
      <c r="D28" s="114"/>
      <c r="E28" s="114"/>
      <c r="F28" s="114"/>
      <c r="G28" s="115"/>
      <c r="H28" s="115"/>
      <c r="I28" s="115"/>
      <c r="J28" s="115"/>
      <c r="K28" s="115"/>
      <c r="L28" s="115"/>
      <c r="M28" s="115"/>
      <c r="N28" s="115"/>
      <c r="O28" s="115"/>
      <c r="P28" s="115"/>
      <c r="Q28" s="115"/>
      <c r="R28" s="124"/>
      <c r="S28" s="124"/>
      <c r="T28" s="124"/>
      <c r="U28" s="124"/>
      <c r="V28" s="115"/>
      <c r="W28" s="115"/>
      <c r="X28" s="115"/>
      <c r="Y28" s="115"/>
      <c r="Z28" s="115"/>
      <c r="AA28" s="115"/>
      <c r="AB28" s="115"/>
      <c r="AC28" s="115"/>
      <c r="AD28" s="115"/>
      <c r="AE28" s="115"/>
      <c r="AF28" s="124"/>
      <c r="AG28" s="124"/>
      <c r="AH28" s="124"/>
      <c r="AI28" s="124"/>
      <c r="AJ28" s="124"/>
      <c r="AK28" s="124"/>
      <c r="AL28" s="124"/>
      <c r="AM28" s="124"/>
      <c r="AN28" s="124"/>
      <c r="AO28" s="124"/>
      <c r="AP28" s="124"/>
      <c r="AQ28" s="124"/>
      <c r="AR28" s="124"/>
      <c r="AS28" s="124"/>
      <c r="AT28" s="124"/>
      <c r="AU28" s="124"/>
      <c r="AV28" s="124"/>
      <c r="AW28" s="124"/>
      <c r="AX28" s="124"/>
      <c r="AY28" s="124"/>
      <c r="AZ28" s="124"/>
    </row>
    <row r="29" spans="1:52" s="94" customFormat="1" ht="46.5" customHeight="1">
      <c r="A29" s="111"/>
      <c r="B29" s="20" t="s">
        <v>196</v>
      </c>
      <c r="C29" s="112"/>
      <c r="D29" s="112"/>
      <c r="E29" s="112"/>
      <c r="F29" s="112"/>
      <c r="G29" s="113"/>
      <c r="H29" s="113"/>
      <c r="I29" s="113"/>
      <c r="J29" s="113"/>
      <c r="K29" s="113"/>
      <c r="L29" s="113"/>
      <c r="M29" s="113"/>
      <c r="N29" s="113"/>
      <c r="O29" s="113"/>
      <c r="P29" s="113"/>
      <c r="Q29" s="113"/>
      <c r="R29" s="123"/>
      <c r="S29" s="123"/>
      <c r="T29" s="123"/>
      <c r="U29" s="123"/>
      <c r="V29" s="113"/>
      <c r="W29" s="113"/>
      <c r="X29" s="113"/>
      <c r="Y29" s="113"/>
      <c r="Z29" s="113"/>
      <c r="AA29" s="113"/>
      <c r="AB29" s="113"/>
      <c r="AC29" s="113"/>
      <c r="AD29" s="113"/>
      <c r="AE29" s="113"/>
      <c r="AF29" s="123"/>
      <c r="AG29" s="123"/>
      <c r="AH29" s="123"/>
      <c r="AI29" s="123"/>
      <c r="AJ29" s="123"/>
      <c r="AK29" s="123"/>
      <c r="AL29" s="123"/>
      <c r="AM29" s="123"/>
      <c r="AN29" s="123"/>
      <c r="AO29" s="123"/>
      <c r="AP29" s="123"/>
      <c r="AQ29" s="123"/>
      <c r="AR29" s="123"/>
      <c r="AS29" s="123"/>
      <c r="AT29" s="123"/>
      <c r="AU29" s="123"/>
      <c r="AV29" s="123"/>
      <c r="AW29" s="123"/>
      <c r="AX29" s="123"/>
      <c r="AY29" s="123"/>
      <c r="AZ29" s="123"/>
    </row>
    <row r="30" spans="1:52" s="94" customFormat="1" ht="73.5" customHeight="1">
      <c r="A30" s="15" t="s">
        <v>30</v>
      </c>
      <c r="B30" s="104" t="s">
        <v>201</v>
      </c>
      <c r="C30" s="112"/>
      <c r="D30" s="112"/>
      <c r="E30" s="112"/>
      <c r="F30" s="112"/>
      <c r="G30" s="113"/>
      <c r="H30" s="113"/>
      <c r="I30" s="113"/>
      <c r="J30" s="113"/>
      <c r="K30" s="113"/>
      <c r="L30" s="113"/>
      <c r="M30" s="113"/>
      <c r="N30" s="113"/>
      <c r="O30" s="113"/>
      <c r="P30" s="113"/>
      <c r="Q30" s="113"/>
      <c r="R30" s="123"/>
      <c r="S30" s="123"/>
      <c r="T30" s="123"/>
      <c r="U30" s="123"/>
      <c r="V30" s="113"/>
      <c r="W30" s="113"/>
      <c r="X30" s="113"/>
      <c r="Y30" s="113"/>
      <c r="Z30" s="113"/>
      <c r="AA30" s="113"/>
      <c r="AB30" s="113"/>
      <c r="AC30" s="113"/>
      <c r="AD30" s="113"/>
      <c r="AE30" s="113"/>
      <c r="AF30" s="123"/>
      <c r="AG30" s="123"/>
      <c r="AH30" s="123"/>
      <c r="AI30" s="123"/>
      <c r="AJ30" s="123"/>
      <c r="AK30" s="123"/>
      <c r="AL30" s="123"/>
      <c r="AM30" s="123"/>
      <c r="AN30" s="123"/>
      <c r="AO30" s="123"/>
      <c r="AP30" s="123"/>
      <c r="AQ30" s="123"/>
      <c r="AR30" s="123"/>
      <c r="AS30" s="123"/>
      <c r="AT30" s="123"/>
      <c r="AU30" s="123"/>
      <c r="AV30" s="123"/>
      <c r="AW30" s="123"/>
      <c r="AX30" s="123"/>
      <c r="AY30" s="123"/>
      <c r="AZ30" s="123"/>
    </row>
    <row r="31" spans="1:52" s="93" customFormat="1" ht="72" customHeight="1">
      <c r="A31" s="107" t="s">
        <v>188</v>
      </c>
      <c r="B31" s="108" t="s">
        <v>202</v>
      </c>
      <c r="C31" s="109"/>
      <c r="D31" s="109"/>
      <c r="E31" s="109"/>
      <c r="F31" s="109"/>
      <c r="G31" s="110"/>
      <c r="H31" s="110"/>
      <c r="I31" s="110"/>
      <c r="J31" s="110"/>
      <c r="K31" s="110"/>
      <c r="L31" s="110"/>
      <c r="M31" s="110"/>
      <c r="N31" s="110"/>
      <c r="O31" s="110"/>
      <c r="P31" s="110"/>
      <c r="Q31" s="110"/>
      <c r="R31" s="122"/>
      <c r="S31" s="122"/>
      <c r="T31" s="122"/>
      <c r="U31" s="122"/>
      <c r="V31" s="110"/>
      <c r="W31" s="110"/>
      <c r="X31" s="110"/>
      <c r="Y31" s="110"/>
      <c r="Z31" s="110"/>
      <c r="AA31" s="110"/>
      <c r="AB31" s="110"/>
      <c r="AC31" s="110"/>
      <c r="AD31" s="110"/>
      <c r="AE31" s="110"/>
      <c r="AF31" s="122"/>
      <c r="AG31" s="122"/>
      <c r="AH31" s="122"/>
      <c r="AI31" s="122"/>
      <c r="AJ31" s="122"/>
      <c r="AK31" s="122"/>
      <c r="AL31" s="122"/>
      <c r="AM31" s="122"/>
      <c r="AN31" s="122"/>
      <c r="AO31" s="122"/>
      <c r="AP31" s="122"/>
      <c r="AQ31" s="122"/>
      <c r="AR31" s="122"/>
      <c r="AS31" s="122"/>
      <c r="AT31" s="122"/>
      <c r="AU31" s="122"/>
      <c r="AV31" s="122"/>
      <c r="AW31" s="122"/>
      <c r="AX31" s="122"/>
      <c r="AY31" s="122"/>
      <c r="AZ31" s="122"/>
    </row>
    <row r="32" spans="1:52" ht="53.25" customHeight="1">
      <c r="A32" s="111"/>
      <c r="B32" s="20" t="s">
        <v>196</v>
      </c>
      <c r="C32" s="105"/>
      <c r="D32" s="105"/>
      <c r="E32" s="105"/>
      <c r="F32" s="105"/>
      <c r="G32" s="106"/>
      <c r="H32" s="106"/>
      <c r="I32" s="106"/>
      <c r="J32" s="106"/>
      <c r="K32" s="106"/>
      <c r="L32" s="106"/>
      <c r="M32" s="106"/>
      <c r="N32" s="106"/>
      <c r="O32" s="106"/>
      <c r="P32" s="106"/>
      <c r="Q32" s="106"/>
      <c r="R32" s="121"/>
      <c r="S32" s="121"/>
      <c r="T32" s="121"/>
      <c r="U32" s="121"/>
      <c r="V32" s="106"/>
      <c r="W32" s="106"/>
      <c r="X32" s="106"/>
      <c r="Y32" s="106"/>
      <c r="Z32" s="106"/>
      <c r="AA32" s="106"/>
      <c r="AB32" s="106"/>
      <c r="AC32" s="106"/>
      <c r="AD32" s="106"/>
      <c r="AE32" s="106"/>
      <c r="AF32" s="121"/>
      <c r="AG32" s="121"/>
      <c r="AH32" s="121"/>
      <c r="AI32" s="121"/>
      <c r="AJ32" s="121"/>
      <c r="AK32" s="121"/>
      <c r="AL32" s="121"/>
      <c r="AM32" s="121"/>
      <c r="AN32" s="121"/>
      <c r="AO32" s="121"/>
      <c r="AP32" s="121"/>
      <c r="AQ32" s="121"/>
      <c r="AR32" s="121"/>
      <c r="AS32" s="121"/>
      <c r="AT32" s="121"/>
      <c r="AU32" s="121"/>
      <c r="AV32" s="121"/>
      <c r="AW32" s="121"/>
      <c r="AX32" s="121"/>
      <c r="AY32" s="121"/>
      <c r="AZ32" s="121"/>
    </row>
    <row r="33" spans="1:52" s="95" customFormat="1" ht="69.75" customHeight="1">
      <c r="A33" s="107" t="s">
        <v>194</v>
      </c>
      <c r="B33" s="108" t="s">
        <v>198</v>
      </c>
      <c r="C33" s="114"/>
      <c r="D33" s="114"/>
      <c r="E33" s="114"/>
      <c r="F33" s="114"/>
      <c r="G33" s="115"/>
      <c r="H33" s="115"/>
      <c r="I33" s="115"/>
      <c r="J33" s="115"/>
      <c r="K33" s="115"/>
      <c r="L33" s="115"/>
      <c r="M33" s="115"/>
      <c r="N33" s="115"/>
      <c r="O33" s="115"/>
      <c r="P33" s="115"/>
      <c r="Q33" s="115"/>
      <c r="R33" s="124"/>
      <c r="S33" s="124"/>
      <c r="T33" s="124"/>
      <c r="U33" s="124"/>
      <c r="V33" s="115"/>
      <c r="W33" s="115"/>
      <c r="X33" s="115"/>
      <c r="Y33" s="115"/>
      <c r="Z33" s="115"/>
      <c r="AA33" s="115"/>
      <c r="AB33" s="115"/>
      <c r="AC33" s="115"/>
      <c r="AD33" s="115"/>
      <c r="AE33" s="115"/>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1:52" s="95" customFormat="1" ht="82.9" customHeight="1">
      <c r="A34" s="107"/>
      <c r="B34" s="190" t="s">
        <v>199</v>
      </c>
      <c r="C34" s="114"/>
      <c r="D34" s="114"/>
      <c r="E34" s="114"/>
      <c r="F34" s="114"/>
      <c r="G34" s="115"/>
      <c r="H34" s="115"/>
      <c r="I34" s="115"/>
      <c r="J34" s="115"/>
      <c r="K34" s="115"/>
      <c r="L34" s="115"/>
      <c r="M34" s="115"/>
      <c r="N34" s="115"/>
      <c r="O34" s="115"/>
      <c r="P34" s="115"/>
      <c r="Q34" s="115"/>
      <c r="R34" s="124"/>
      <c r="S34" s="124"/>
      <c r="T34" s="124"/>
      <c r="U34" s="124"/>
      <c r="V34" s="115"/>
      <c r="W34" s="115"/>
      <c r="X34" s="115"/>
      <c r="Y34" s="115"/>
      <c r="Z34" s="115"/>
      <c r="AA34" s="115"/>
      <c r="AB34" s="115"/>
      <c r="AC34" s="115"/>
      <c r="AD34" s="115"/>
      <c r="AE34" s="115"/>
      <c r="AF34" s="124"/>
      <c r="AG34" s="124"/>
      <c r="AH34" s="124"/>
      <c r="AI34" s="124"/>
      <c r="AJ34" s="124"/>
      <c r="AK34" s="124"/>
      <c r="AL34" s="124"/>
      <c r="AM34" s="124"/>
      <c r="AN34" s="124"/>
      <c r="AO34" s="124"/>
      <c r="AP34" s="124"/>
      <c r="AQ34" s="124"/>
      <c r="AR34" s="124"/>
      <c r="AS34" s="124"/>
      <c r="AT34" s="124"/>
      <c r="AU34" s="124"/>
      <c r="AV34" s="124"/>
      <c r="AW34" s="124"/>
      <c r="AX34" s="124"/>
      <c r="AY34" s="124"/>
      <c r="AZ34" s="124"/>
    </row>
    <row r="35" spans="1:52" s="95" customFormat="1" ht="48" customHeight="1">
      <c r="A35" s="107"/>
      <c r="B35" s="20" t="s">
        <v>196</v>
      </c>
      <c r="C35" s="114"/>
      <c r="D35" s="114"/>
      <c r="E35" s="114"/>
      <c r="F35" s="114"/>
      <c r="G35" s="115"/>
      <c r="H35" s="115"/>
      <c r="I35" s="115"/>
      <c r="J35" s="115"/>
      <c r="K35" s="115"/>
      <c r="L35" s="115"/>
      <c r="M35" s="115"/>
      <c r="N35" s="115"/>
      <c r="O35" s="115"/>
      <c r="P35" s="115"/>
      <c r="Q35" s="115"/>
      <c r="R35" s="124"/>
      <c r="S35" s="124"/>
      <c r="T35" s="124"/>
      <c r="U35" s="124"/>
      <c r="V35" s="115"/>
      <c r="W35" s="115"/>
      <c r="X35" s="115"/>
      <c r="Y35" s="115"/>
      <c r="Z35" s="115"/>
      <c r="AA35" s="115"/>
      <c r="AB35" s="115"/>
      <c r="AC35" s="115"/>
      <c r="AD35" s="115"/>
      <c r="AE35" s="115"/>
      <c r="AF35" s="124"/>
      <c r="AG35" s="124"/>
      <c r="AH35" s="124"/>
      <c r="AI35" s="124"/>
      <c r="AJ35" s="124"/>
      <c r="AK35" s="124"/>
      <c r="AL35" s="124"/>
      <c r="AM35" s="124"/>
      <c r="AN35" s="124"/>
      <c r="AO35" s="124"/>
      <c r="AP35" s="124"/>
      <c r="AQ35" s="124"/>
      <c r="AR35" s="124"/>
      <c r="AS35" s="124"/>
      <c r="AT35" s="124"/>
      <c r="AU35" s="124"/>
      <c r="AV35" s="124"/>
      <c r="AW35" s="124"/>
      <c r="AX35" s="124"/>
      <c r="AY35" s="124"/>
      <c r="AZ35" s="124"/>
    </row>
    <row r="36" spans="1:52" s="93" customFormat="1" ht="67.150000000000006" customHeight="1">
      <c r="A36" s="107"/>
      <c r="B36" s="190" t="s">
        <v>263</v>
      </c>
      <c r="C36" s="109"/>
      <c r="D36" s="109"/>
      <c r="E36" s="109"/>
      <c r="F36" s="109"/>
      <c r="G36" s="110"/>
      <c r="H36" s="110"/>
      <c r="I36" s="110"/>
      <c r="J36" s="110"/>
      <c r="K36" s="110"/>
      <c r="L36" s="110"/>
      <c r="M36" s="110"/>
      <c r="N36" s="110"/>
      <c r="O36" s="110"/>
      <c r="P36" s="110"/>
      <c r="Q36" s="110"/>
      <c r="R36" s="122"/>
      <c r="S36" s="122"/>
      <c r="T36" s="122"/>
      <c r="U36" s="122"/>
      <c r="V36" s="110"/>
      <c r="W36" s="110"/>
      <c r="X36" s="110"/>
      <c r="Y36" s="110"/>
      <c r="Z36" s="110"/>
      <c r="AA36" s="110"/>
      <c r="AB36" s="110"/>
      <c r="AC36" s="110"/>
      <c r="AD36" s="110"/>
      <c r="AE36" s="110"/>
      <c r="AF36" s="122"/>
      <c r="AG36" s="122"/>
      <c r="AH36" s="122"/>
      <c r="AI36" s="122"/>
      <c r="AJ36" s="122"/>
      <c r="AK36" s="122"/>
      <c r="AL36" s="122"/>
      <c r="AM36" s="122"/>
      <c r="AN36" s="122"/>
      <c r="AO36" s="122"/>
      <c r="AP36" s="122"/>
      <c r="AQ36" s="122"/>
      <c r="AR36" s="122"/>
      <c r="AS36" s="122"/>
      <c r="AT36" s="122"/>
      <c r="AU36" s="122"/>
      <c r="AV36" s="122"/>
      <c r="AW36" s="122"/>
      <c r="AX36" s="122"/>
      <c r="AY36" s="122"/>
      <c r="AZ36" s="122"/>
    </row>
    <row r="37" spans="1:52" s="94" customFormat="1" ht="55.5" customHeight="1">
      <c r="A37" s="111"/>
      <c r="B37" s="20" t="s">
        <v>196</v>
      </c>
      <c r="C37" s="112"/>
      <c r="D37" s="112"/>
      <c r="E37" s="112"/>
      <c r="F37" s="112"/>
      <c r="G37" s="113"/>
      <c r="H37" s="113"/>
      <c r="I37" s="113"/>
      <c r="J37" s="113"/>
      <c r="K37" s="113"/>
      <c r="L37" s="113"/>
      <c r="M37" s="113"/>
      <c r="N37" s="113"/>
      <c r="O37" s="113"/>
      <c r="P37" s="113"/>
      <c r="Q37" s="113"/>
      <c r="R37" s="123"/>
      <c r="S37" s="123"/>
      <c r="T37" s="123"/>
      <c r="U37" s="123"/>
      <c r="V37" s="113"/>
      <c r="W37" s="113"/>
      <c r="X37" s="113"/>
      <c r="Y37" s="113"/>
      <c r="Z37" s="113"/>
      <c r="AA37" s="113"/>
      <c r="AB37" s="113"/>
      <c r="AC37" s="113"/>
      <c r="AD37" s="113"/>
      <c r="AE37" s="113"/>
      <c r="AF37" s="123"/>
      <c r="AG37" s="123"/>
      <c r="AH37" s="123"/>
      <c r="AI37" s="123"/>
      <c r="AJ37" s="123"/>
      <c r="AK37" s="123"/>
      <c r="AL37" s="123"/>
      <c r="AM37" s="123"/>
      <c r="AN37" s="123"/>
      <c r="AO37" s="123"/>
      <c r="AP37" s="123"/>
      <c r="AQ37" s="123"/>
      <c r="AR37" s="123"/>
      <c r="AS37" s="123"/>
      <c r="AT37" s="123"/>
      <c r="AU37" s="123"/>
      <c r="AV37" s="123"/>
      <c r="AW37" s="123"/>
      <c r="AX37" s="123"/>
      <c r="AY37" s="123"/>
      <c r="AZ37" s="123"/>
    </row>
    <row r="38" spans="1:52" s="93" customFormat="1" ht="85.15" customHeight="1">
      <c r="A38" s="107"/>
      <c r="B38" s="190" t="s">
        <v>240</v>
      </c>
      <c r="C38" s="109"/>
      <c r="D38" s="109"/>
      <c r="E38" s="109"/>
      <c r="F38" s="109"/>
      <c r="G38" s="110"/>
      <c r="H38" s="110"/>
      <c r="I38" s="110"/>
      <c r="J38" s="110"/>
      <c r="K38" s="110"/>
      <c r="L38" s="110"/>
      <c r="M38" s="110"/>
      <c r="N38" s="110"/>
      <c r="O38" s="110"/>
      <c r="P38" s="110"/>
      <c r="Q38" s="110"/>
      <c r="R38" s="122"/>
      <c r="S38" s="122"/>
      <c r="T38" s="122"/>
      <c r="U38" s="122"/>
      <c r="V38" s="110"/>
      <c r="W38" s="110"/>
      <c r="X38" s="110"/>
      <c r="Y38" s="110"/>
      <c r="Z38" s="110"/>
      <c r="AA38" s="110"/>
      <c r="AB38" s="110"/>
      <c r="AC38" s="110"/>
      <c r="AD38" s="110"/>
      <c r="AE38" s="110"/>
      <c r="AF38" s="122"/>
      <c r="AG38" s="122"/>
      <c r="AH38" s="122"/>
      <c r="AI38" s="122"/>
      <c r="AJ38" s="122"/>
      <c r="AK38" s="122"/>
      <c r="AL38" s="122"/>
      <c r="AM38" s="122"/>
      <c r="AN38" s="122"/>
      <c r="AO38" s="122"/>
      <c r="AP38" s="122"/>
      <c r="AQ38" s="122"/>
      <c r="AR38" s="122"/>
      <c r="AS38" s="122"/>
      <c r="AT38" s="122"/>
      <c r="AU38" s="122"/>
      <c r="AV38" s="122"/>
      <c r="AW38" s="122"/>
      <c r="AX38" s="122"/>
      <c r="AY38" s="122"/>
      <c r="AZ38" s="122"/>
    </row>
    <row r="39" spans="1:52" s="95" customFormat="1" ht="76.150000000000006" customHeight="1">
      <c r="A39" s="116"/>
      <c r="B39" s="191" t="s">
        <v>226</v>
      </c>
      <c r="C39" s="114"/>
      <c r="D39" s="114"/>
      <c r="E39" s="114"/>
      <c r="F39" s="114"/>
      <c r="G39" s="115"/>
      <c r="H39" s="115"/>
      <c r="I39" s="115"/>
      <c r="J39" s="115"/>
      <c r="K39" s="115"/>
      <c r="L39" s="115"/>
      <c r="M39" s="115"/>
      <c r="N39" s="115"/>
      <c r="O39" s="115"/>
      <c r="P39" s="115"/>
      <c r="Q39" s="115"/>
      <c r="R39" s="124"/>
      <c r="S39" s="124"/>
      <c r="T39" s="124"/>
      <c r="U39" s="124"/>
      <c r="V39" s="115"/>
      <c r="W39" s="115"/>
      <c r="X39" s="115"/>
      <c r="Y39" s="115"/>
      <c r="Z39" s="115"/>
      <c r="AA39" s="115"/>
      <c r="AB39" s="115"/>
      <c r="AC39" s="115"/>
      <c r="AD39" s="115"/>
      <c r="AE39" s="115"/>
      <c r="AF39" s="124"/>
      <c r="AG39" s="124"/>
      <c r="AH39" s="124"/>
      <c r="AI39" s="124"/>
      <c r="AJ39" s="124"/>
      <c r="AK39" s="124"/>
      <c r="AL39" s="124"/>
      <c r="AM39" s="124"/>
      <c r="AN39" s="124"/>
      <c r="AO39" s="124"/>
      <c r="AP39" s="124"/>
      <c r="AQ39" s="124"/>
      <c r="AR39" s="124"/>
      <c r="AS39" s="124"/>
      <c r="AT39" s="124"/>
      <c r="AU39" s="124"/>
      <c r="AV39" s="124"/>
      <c r="AW39" s="124"/>
      <c r="AX39" s="124"/>
      <c r="AY39" s="124"/>
      <c r="AZ39" s="124"/>
    </row>
    <row r="40" spans="1:52" ht="42" customHeight="1">
      <c r="A40" s="111"/>
      <c r="B40" s="20" t="s">
        <v>196</v>
      </c>
      <c r="C40" s="105"/>
      <c r="D40" s="105"/>
      <c r="E40" s="105"/>
      <c r="F40" s="105"/>
      <c r="G40" s="106"/>
      <c r="H40" s="106"/>
      <c r="I40" s="106"/>
      <c r="J40" s="106"/>
      <c r="K40" s="106"/>
      <c r="L40" s="106"/>
      <c r="M40" s="106"/>
      <c r="N40" s="106"/>
      <c r="O40" s="106"/>
      <c r="P40" s="106"/>
      <c r="Q40" s="106"/>
      <c r="R40" s="121"/>
      <c r="S40" s="121"/>
      <c r="T40" s="121"/>
      <c r="U40" s="121"/>
      <c r="V40" s="106"/>
      <c r="W40" s="106"/>
      <c r="X40" s="106"/>
      <c r="Y40" s="106"/>
      <c r="Z40" s="106"/>
      <c r="AA40" s="106"/>
      <c r="AB40" s="106"/>
      <c r="AC40" s="106"/>
      <c r="AD40" s="106"/>
      <c r="AE40" s="106"/>
      <c r="AF40" s="121"/>
      <c r="AG40" s="121"/>
      <c r="AH40" s="121"/>
      <c r="AI40" s="121"/>
      <c r="AJ40" s="121"/>
      <c r="AK40" s="121"/>
      <c r="AL40" s="121"/>
      <c r="AM40" s="121"/>
      <c r="AN40" s="121"/>
      <c r="AO40" s="121"/>
      <c r="AP40" s="121"/>
      <c r="AQ40" s="121"/>
      <c r="AR40" s="121"/>
      <c r="AS40" s="121"/>
      <c r="AT40" s="121"/>
      <c r="AU40" s="121"/>
      <c r="AV40" s="121"/>
      <c r="AW40" s="121"/>
      <c r="AX40" s="121"/>
      <c r="AY40" s="121"/>
      <c r="AZ40" s="121"/>
    </row>
    <row r="41" spans="1:52" s="95" customFormat="1" ht="48" customHeight="1">
      <c r="A41" s="116"/>
      <c r="B41" s="191" t="s">
        <v>227</v>
      </c>
      <c r="C41" s="114"/>
      <c r="D41" s="114"/>
      <c r="E41" s="114"/>
      <c r="F41" s="114"/>
      <c r="G41" s="115"/>
      <c r="H41" s="115"/>
      <c r="I41" s="115"/>
      <c r="J41" s="115"/>
      <c r="K41" s="115"/>
      <c r="L41" s="115"/>
      <c r="M41" s="115"/>
      <c r="N41" s="115"/>
      <c r="O41" s="115"/>
      <c r="P41" s="115"/>
      <c r="Q41" s="115"/>
      <c r="R41" s="124"/>
      <c r="S41" s="124"/>
      <c r="T41" s="124"/>
      <c r="U41" s="124"/>
      <c r="V41" s="115"/>
      <c r="W41" s="115"/>
      <c r="X41" s="115"/>
      <c r="Y41" s="115"/>
      <c r="Z41" s="115"/>
      <c r="AA41" s="115"/>
      <c r="AB41" s="115"/>
      <c r="AC41" s="115"/>
      <c r="AD41" s="115"/>
      <c r="AE41" s="115"/>
      <c r="AF41" s="124"/>
      <c r="AG41" s="124"/>
      <c r="AH41" s="124"/>
      <c r="AI41" s="124"/>
      <c r="AJ41" s="124"/>
      <c r="AK41" s="124"/>
      <c r="AL41" s="124"/>
      <c r="AM41" s="124"/>
      <c r="AN41" s="124"/>
      <c r="AO41" s="124"/>
      <c r="AP41" s="124"/>
      <c r="AQ41" s="124"/>
      <c r="AR41" s="124"/>
      <c r="AS41" s="124"/>
      <c r="AT41" s="124"/>
      <c r="AU41" s="124"/>
      <c r="AV41" s="124"/>
      <c r="AW41" s="124"/>
      <c r="AX41" s="124"/>
      <c r="AY41" s="124"/>
      <c r="AZ41" s="124"/>
    </row>
    <row r="42" spans="1:52" ht="48" customHeight="1">
      <c r="A42" s="111"/>
      <c r="B42" s="20" t="s">
        <v>196</v>
      </c>
      <c r="C42" s="105"/>
      <c r="D42" s="105"/>
      <c r="E42" s="105"/>
      <c r="F42" s="105"/>
      <c r="G42" s="106"/>
      <c r="H42" s="106"/>
      <c r="I42" s="106"/>
      <c r="J42" s="106"/>
      <c r="K42" s="106"/>
      <c r="L42" s="106"/>
      <c r="M42" s="106"/>
      <c r="N42" s="106"/>
      <c r="O42" s="106"/>
      <c r="P42" s="106"/>
      <c r="Q42" s="106"/>
      <c r="R42" s="121"/>
      <c r="S42" s="121"/>
      <c r="T42" s="121"/>
      <c r="U42" s="121"/>
      <c r="V42" s="106"/>
      <c r="W42" s="106"/>
      <c r="X42" s="106"/>
      <c r="Y42" s="106"/>
      <c r="Z42" s="106"/>
      <c r="AA42" s="106"/>
      <c r="AB42" s="106"/>
      <c r="AC42" s="106"/>
      <c r="AD42" s="106"/>
      <c r="AE42" s="106"/>
      <c r="AF42" s="121"/>
      <c r="AG42" s="121"/>
      <c r="AH42" s="121"/>
      <c r="AI42" s="121"/>
      <c r="AJ42" s="121"/>
      <c r="AK42" s="121"/>
      <c r="AL42" s="121"/>
      <c r="AM42" s="121"/>
      <c r="AN42" s="121"/>
      <c r="AO42" s="121"/>
      <c r="AP42" s="121"/>
      <c r="AQ42" s="121"/>
      <c r="AR42" s="121"/>
      <c r="AS42" s="121"/>
      <c r="AT42" s="121"/>
      <c r="AU42" s="121"/>
      <c r="AV42" s="121"/>
      <c r="AW42" s="121"/>
      <c r="AX42" s="121"/>
      <c r="AY42" s="121"/>
      <c r="AZ42" s="121"/>
    </row>
    <row r="43" spans="1:52" ht="69" customHeight="1">
      <c r="A43" s="15" t="s">
        <v>32</v>
      </c>
      <c r="B43" s="104" t="s">
        <v>203</v>
      </c>
      <c r="C43" s="105"/>
      <c r="D43" s="105"/>
      <c r="E43" s="105"/>
      <c r="F43" s="105"/>
      <c r="G43" s="106"/>
      <c r="H43" s="106"/>
      <c r="I43" s="106"/>
      <c r="J43" s="106"/>
      <c r="K43" s="106"/>
      <c r="L43" s="106"/>
      <c r="M43" s="106"/>
      <c r="N43" s="106"/>
      <c r="O43" s="106"/>
      <c r="P43" s="106"/>
      <c r="Q43" s="106"/>
      <c r="R43" s="121"/>
      <c r="S43" s="121"/>
      <c r="T43" s="121"/>
      <c r="U43" s="121"/>
      <c r="V43" s="106"/>
      <c r="W43" s="106"/>
      <c r="X43" s="106"/>
      <c r="Y43" s="106"/>
      <c r="Z43" s="106"/>
      <c r="AA43" s="106"/>
      <c r="AB43" s="106"/>
      <c r="AC43" s="106"/>
      <c r="AD43" s="106"/>
      <c r="AE43" s="106"/>
      <c r="AF43" s="121"/>
      <c r="AG43" s="121"/>
      <c r="AH43" s="121"/>
      <c r="AI43" s="121"/>
      <c r="AJ43" s="121"/>
      <c r="AK43" s="121"/>
      <c r="AL43" s="121"/>
      <c r="AM43" s="121"/>
      <c r="AN43" s="121"/>
      <c r="AO43" s="121"/>
      <c r="AP43" s="121"/>
      <c r="AQ43" s="121"/>
      <c r="AR43" s="121"/>
      <c r="AS43" s="121"/>
      <c r="AT43" s="121"/>
      <c r="AU43" s="121"/>
      <c r="AV43" s="121"/>
      <c r="AW43" s="121"/>
      <c r="AX43" s="121"/>
      <c r="AY43" s="121"/>
      <c r="AZ43" s="121"/>
    </row>
    <row r="44" spans="1:52" s="95" customFormat="1" ht="87.75" customHeight="1">
      <c r="A44" s="107"/>
      <c r="B44" s="190" t="s">
        <v>228</v>
      </c>
      <c r="C44" s="114"/>
      <c r="D44" s="114"/>
      <c r="E44" s="114"/>
      <c r="F44" s="114"/>
      <c r="G44" s="115"/>
      <c r="H44" s="115"/>
      <c r="I44" s="115"/>
      <c r="J44" s="115"/>
      <c r="K44" s="115"/>
      <c r="L44" s="115"/>
      <c r="M44" s="115"/>
      <c r="N44" s="115"/>
      <c r="O44" s="115"/>
      <c r="P44" s="115"/>
      <c r="Q44" s="115"/>
      <c r="R44" s="124"/>
      <c r="S44" s="124"/>
      <c r="T44" s="124"/>
      <c r="U44" s="124"/>
      <c r="V44" s="115"/>
      <c r="W44" s="115"/>
      <c r="X44" s="115"/>
      <c r="Y44" s="115"/>
      <c r="Z44" s="115"/>
      <c r="AA44" s="115"/>
      <c r="AB44" s="115"/>
      <c r="AC44" s="115"/>
      <c r="AD44" s="115"/>
      <c r="AE44" s="115"/>
      <c r="AF44" s="124"/>
      <c r="AG44" s="124"/>
      <c r="AH44" s="124"/>
      <c r="AI44" s="124"/>
      <c r="AJ44" s="124"/>
      <c r="AK44" s="124"/>
      <c r="AL44" s="124"/>
      <c r="AM44" s="124"/>
      <c r="AN44" s="124"/>
      <c r="AO44" s="124"/>
      <c r="AP44" s="124"/>
      <c r="AQ44" s="124"/>
      <c r="AR44" s="124"/>
      <c r="AS44" s="124"/>
      <c r="AT44" s="124"/>
      <c r="AU44" s="124"/>
      <c r="AV44" s="124"/>
      <c r="AW44" s="124"/>
      <c r="AX44" s="124"/>
      <c r="AY44" s="124"/>
      <c r="AZ44" s="124"/>
    </row>
    <row r="45" spans="1:52" s="93" customFormat="1" ht="51" customHeight="1">
      <c r="A45" s="107"/>
      <c r="B45" s="20" t="s">
        <v>196</v>
      </c>
      <c r="C45" s="109"/>
      <c r="D45" s="109"/>
      <c r="E45" s="109"/>
      <c r="F45" s="109"/>
      <c r="G45" s="110"/>
      <c r="H45" s="110"/>
      <c r="I45" s="110"/>
      <c r="J45" s="110"/>
      <c r="K45" s="110"/>
      <c r="L45" s="110"/>
      <c r="M45" s="110"/>
      <c r="N45" s="110"/>
      <c r="O45" s="110"/>
      <c r="P45" s="110"/>
      <c r="Q45" s="110"/>
      <c r="R45" s="122"/>
      <c r="S45" s="122"/>
      <c r="T45" s="122"/>
      <c r="U45" s="122"/>
      <c r="V45" s="110"/>
      <c r="W45" s="110"/>
      <c r="X45" s="110"/>
      <c r="Y45" s="110"/>
      <c r="Z45" s="110"/>
      <c r="AA45" s="110"/>
      <c r="AB45" s="110"/>
      <c r="AC45" s="110"/>
      <c r="AD45" s="110"/>
      <c r="AE45" s="110"/>
      <c r="AF45" s="122"/>
      <c r="AG45" s="122"/>
      <c r="AH45" s="122"/>
      <c r="AI45" s="122"/>
      <c r="AJ45" s="122"/>
      <c r="AK45" s="122"/>
      <c r="AL45" s="122"/>
      <c r="AM45" s="122"/>
      <c r="AN45" s="122"/>
      <c r="AO45" s="122"/>
      <c r="AP45" s="122"/>
      <c r="AQ45" s="122"/>
      <c r="AR45" s="122"/>
      <c r="AS45" s="122"/>
      <c r="AT45" s="122"/>
      <c r="AU45" s="122"/>
      <c r="AV45" s="122"/>
      <c r="AW45" s="122"/>
      <c r="AX45" s="122"/>
      <c r="AY45" s="122"/>
      <c r="AZ45" s="122"/>
    </row>
    <row r="46" spans="1:52" s="95" customFormat="1" ht="54" customHeight="1">
      <c r="A46" s="107"/>
      <c r="B46" s="190" t="s">
        <v>200</v>
      </c>
      <c r="C46" s="114"/>
      <c r="D46" s="114"/>
      <c r="E46" s="114"/>
      <c r="F46" s="114"/>
      <c r="G46" s="115"/>
      <c r="H46" s="115"/>
      <c r="I46" s="115"/>
      <c r="J46" s="115"/>
      <c r="K46" s="115"/>
      <c r="L46" s="115"/>
      <c r="M46" s="115"/>
      <c r="N46" s="115"/>
      <c r="O46" s="115"/>
      <c r="P46" s="115"/>
      <c r="Q46" s="115"/>
      <c r="R46" s="124"/>
      <c r="S46" s="124"/>
      <c r="T46" s="124"/>
      <c r="U46" s="124"/>
      <c r="V46" s="115"/>
      <c r="W46" s="115"/>
      <c r="X46" s="115"/>
      <c r="Y46" s="115"/>
      <c r="Z46" s="115"/>
      <c r="AA46" s="115"/>
      <c r="AB46" s="115"/>
      <c r="AC46" s="115"/>
      <c r="AD46" s="115"/>
      <c r="AE46" s="115"/>
      <c r="AF46" s="124"/>
      <c r="AG46" s="124"/>
      <c r="AH46" s="124"/>
      <c r="AI46" s="124"/>
      <c r="AJ46" s="124"/>
      <c r="AK46" s="124"/>
      <c r="AL46" s="124"/>
      <c r="AM46" s="124"/>
      <c r="AN46" s="124"/>
      <c r="AO46" s="124"/>
      <c r="AP46" s="124"/>
      <c r="AQ46" s="124"/>
      <c r="AR46" s="124"/>
      <c r="AS46" s="124"/>
      <c r="AT46" s="124"/>
      <c r="AU46" s="124"/>
      <c r="AV46" s="124"/>
      <c r="AW46" s="124"/>
      <c r="AX46" s="124"/>
      <c r="AY46" s="124"/>
      <c r="AZ46" s="124"/>
    </row>
    <row r="47" spans="1:52" s="93" customFormat="1" ht="54.75" customHeight="1">
      <c r="A47" s="107"/>
      <c r="B47" s="20" t="s">
        <v>196</v>
      </c>
      <c r="C47" s="109"/>
      <c r="D47" s="109"/>
      <c r="E47" s="109"/>
      <c r="F47" s="109"/>
      <c r="G47" s="110"/>
      <c r="H47" s="110"/>
      <c r="I47" s="110"/>
      <c r="J47" s="110"/>
      <c r="K47" s="110"/>
      <c r="L47" s="110"/>
      <c r="M47" s="110"/>
      <c r="N47" s="110"/>
      <c r="O47" s="110"/>
      <c r="P47" s="110"/>
      <c r="Q47" s="110"/>
      <c r="R47" s="122"/>
      <c r="S47" s="122"/>
      <c r="T47" s="122"/>
      <c r="U47" s="122"/>
      <c r="V47" s="110"/>
      <c r="W47" s="110"/>
      <c r="X47" s="110"/>
      <c r="Y47" s="110"/>
      <c r="Z47" s="110"/>
      <c r="AA47" s="110"/>
      <c r="AB47" s="110"/>
      <c r="AC47" s="110"/>
      <c r="AD47" s="110"/>
      <c r="AE47" s="110"/>
      <c r="AF47" s="122"/>
      <c r="AG47" s="122"/>
      <c r="AH47" s="122"/>
      <c r="AI47" s="122"/>
      <c r="AJ47" s="122"/>
      <c r="AK47" s="122"/>
      <c r="AL47" s="122"/>
      <c r="AM47" s="122"/>
      <c r="AN47" s="122"/>
      <c r="AO47" s="122"/>
      <c r="AP47" s="122"/>
      <c r="AQ47" s="122"/>
      <c r="AR47" s="122"/>
      <c r="AS47" s="122"/>
      <c r="AT47" s="122"/>
      <c r="AU47" s="122"/>
      <c r="AV47" s="122"/>
      <c r="AW47" s="122"/>
      <c r="AX47" s="122"/>
      <c r="AY47" s="122"/>
      <c r="AZ47" s="122"/>
    </row>
    <row r="48" spans="1:52" s="94" customFormat="1" ht="57" hidden="1" customHeight="1">
      <c r="A48" s="15" t="s">
        <v>32</v>
      </c>
      <c r="B48" s="104" t="s">
        <v>264</v>
      </c>
      <c r="C48" s="112"/>
      <c r="D48" s="112"/>
      <c r="E48" s="112"/>
      <c r="F48" s="112"/>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23"/>
    </row>
    <row r="49" spans="1:52" ht="30" hidden="1" customHeight="1">
      <c r="A49" s="111" t="s">
        <v>190</v>
      </c>
      <c r="B49" s="20" t="s">
        <v>191</v>
      </c>
      <c r="C49" s="105"/>
      <c r="D49" s="105"/>
      <c r="E49" s="105"/>
      <c r="F49" s="105"/>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21"/>
    </row>
    <row r="50" spans="1:52" ht="30" hidden="1" customHeight="1">
      <c r="A50" s="111" t="s">
        <v>265</v>
      </c>
      <c r="B50" s="20" t="s">
        <v>191</v>
      </c>
      <c r="C50" s="105"/>
      <c r="D50" s="105"/>
      <c r="E50" s="105"/>
      <c r="F50" s="105"/>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21"/>
    </row>
    <row r="51" spans="1:52" ht="30" hidden="1" customHeight="1">
      <c r="A51" s="111" t="s">
        <v>192</v>
      </c>
      <c r="B51" s="189" t="s">
        <v>193</v>
      </c>
      <c r="C51" s="105"/>
      <c r="D51" s="105"/>
      <c r="E51" s="105"/>
      <c r="F51" s="105"/>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21"/>
    </row>
    <row r="52" spans="1:52" ht="49.5" hidden="1" customHeight="1">
      <c r="A52" s="15" t="s">
        <v>34</v>
      </c>
      <c r="B52" s="104" t="s">
        <v>266</v>
      </c>
      <c r="C52" s="105"/>
      <c r="D52" s="105"/>
      <c r="E52" s="105"/>
      <c r="F52" s="105"/>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21"/>
    </row>
    <row r="53" spans="1:52" ht="30" hidden="1" customHeight="1">
      <c r="A53" s="111" t="s">
        <v>190</v>
      </c>
      <c r="B53" s="20" t="s">
        <v>191</v>
      </c>
      <c r="C53" s="105"/>
      <c r="D53" s="105"/>
      <c r="E53" s="105"/>
      <c r="F53" s="105"/>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21"/>
    </row>
    <row r="54" spans="1:52" ht="30" hidden="1" customHeight="1">
      <c r="A54" s="111" t="s">
        <v>265</v>
      </c>
      <c r="B54" s="20" t="s">
        <v>191</v>
      </c>
      <c r="C54" s="105"/>
      <c r="D54" s="105"/>
      <c r="E54" s="105"/>
      <c r="F54" s="105"/>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21"/>
    </row>
    <row r="55" spans="1:52" ht="30" hidden="1" customHeight="1">
      <c r="A55" s="111" t="s">
        <v>192</v>
      </c>
      <c r="B55" s="189" t="s">
        <v>193</v>
      </c>
      <c r="C55" s="105"/>
      <c r="D55" s="105"/>
      <c r="E55" s="105"/>
      <c r="F55" s="105"/>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21"/>
    </row>
    <row r="56" spans="1:52" s="94" customFormat="1" ht="65.25" hidden="1" customHeight="1">
      <c r="A56" s="15" t="s">
        <v>36</v>
      </c>
      <c r="B56" s="104" t="s">
        <v>267</v>
      </c>
      <c r="C56" s="112"/>
      <c r="D56" s="112"/>
      <c r="E56" s="112"/>
      <c r="F56" s="112"/>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23"/>
    </row>
    <row r="57" spans="1:52" ht="30" hidden="1" customHeight="1">
      <c r="A57" s="111" t="s">
        <v>190</v>
      </c>
      <c r="B57" s="20" t="s">
        <v>191</v>
      </c>
      <c r="C57" s="105"/>
      <c r="D57" s="105"/>
      <c r="E57" s="105"/>
      <c r="F57" s="105"/>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21"/>
    </row>
    <row r="58" spans="1:52" ht="30" hidden="1" customHeight="1">
      <c r="A58" s="111" t="s">
        <v>265</v>
      </c>
      <c r="B58" s="20" t="s">
        <v>191</v>
      </c>
      <c r="C58" s="105"/>
      <c r="D58" s="105"/>
      <c r="E58" s="105"/>
      <c r="F58" s="105"/>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21"/>
    </row>
    <row r="59" spans="1:52" ht="30" hidden="1" customHeight="1">
      <c r="A59" s="111" t="s">
        <v>192</v>
      </c>
      <c r="B59" s="189" t="s">
        <v>193</v>
      </c>
      <c r="C59" s="105"/>
      <c r="D59" s="105"/>
      <c r="E59" s="105"/>
      <c r="F59" s="105"/>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21"/>
    </row>
    <row r="60" spans="1:52" ht="54" hidden="1" customHeight="1">
      <c r="A60" s="15" t="s">
        <v>268</v>
      </c>
      <c r="B60" s="104" t="s">
        <v>269</v>
      </c>
      <c r="C60" s="105"/>
      <c r="D60" s="105"/>
      <c r="E60" s="105"/>
      <c r="F60" s="105"/>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21"/>
    </row>
    <row r="61" spans="1:52" s="93" customFormat="1" ht="30" hidden="1" customHeight="1">
      <c r="A61" s="107" t="s">
        <v>188</v>
      </c>
      <c r="B61" s="108" t="s">
        <v>270</v>
      </c>
      <c r="C61" s="109"/>
      <c r="D61" s="109"/>
      <c r="E61" s="109"/>
      <c r="F61" s="109"/>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22"/>
    </row>
    <row r="62" spans="1:52" ht="30" hidden="1" customHeight="1">
      <c r="A62" s="111" t="s">
        <v>28</v>
      </c>
      <c r="B62" s="20" t="s">
        <v>191</v>
      </c>
      <c r="C62" s="105"/>
      <c r="D62" s="105"/>
      <c r="E62" s="105"/>
      <c r="F62" s="105"/>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21"/>
    </row>
    <row r="63" spans="1:52" ht="30" hidden="1" customHeight="1">
      <c r="A63" s="111" t="s">
        <v>192</v>
      </c>
      <c r="B63" s="189" t="s">
        <v>193</v>
      </c>
      <c r="C63" s="105"/>
      <c r="D63" s="105"/>
      <c r="E63" s="105"/>
      <c r="F63" s="105"/>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21"/>
    </row>
    <row r="64" spans="1:52" s="93" customFormat="1" ht="30" hidden="1" customHeight="1">
      <c r="A64" s="107" t="s">
        <v>194</v>
      </c>
      <c r="B64" s="108" t="s">
        <v>271</v>
      </c>
      <c r="C64" s="109"/>
      <c r="D64" s="109"/>
      <c r="E64" s="109"/>
      <c r="F64" s="109"/>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22"/>
    </row>
    <row r="65" spans="1:52" ht="37.5" hidden="1" customHeight="1">
      <c r="A65" s="111" t="s">
        <v>28</v>
      </c>
      <c r="B65" s="20" t="s">
        <v>191</v>
      </c>
      <c r="C65" s="105"/>
      <c r="D65" s="105"/>
      <c r="E65" s="105"/>
      <c r="F65" s="105"/>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21"/>
    </row>
    <row r="66" spans="1:52" ht="30" hidden="1" customHeight="1">
      <c r="A66" s="111" t="s">
        <v>192</v>
      </c>
      <c r="B66" s="189" t="s">
        <v>193</v>
      </c>
      <c r="C66" s="105"/>
      <c r="D66" s="105"/>
      <c r="E66" s="105"/>
      <c r="F66" s="105"/>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21"/>
    </row>
    <row r="67" spans="1:52" s="93" customFormat="1" ht="30" hidden="1" customHeight="1">
      <c r="A67" s="107" t="s">
        <v>197</v>
      </c>
      <c r="B67" s="108" t="s">
        <v>272</v>
      </c>
      <c r="C67" s="109"/>
      <c r="D67" s="109"/>
      <c r="E67" s="109"/>
      <c r="F67" s="109"/>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22"/>
    </row>
    <row r="68" spans="1:52" ht="30" hidden="1" customHeight="1">
      <c r="A68" s="111" t="s">
        <v>28</v>
      </c>
      <c r="B68" s="20" t="s">
        <v>191</v>
      </c>
      <c r="C68" s="105"/>
      <c r="D68" s="105"/>
      <c r="E68" s="105"/>
      <c r="F68" s="105"/>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21"/>
    </row>
    <row r="69" spans="1:52" ht="30" hidden="1" customHeight="1">
      <c r="A69" s="111" t="s">
        <v>192</v>
      </c>
      <c r="B69" s="189" t="s">
        <v>193</v>
      </c>
      <c r="C69" s="105"/>
      <c r="D69" s="105"/>
      <c r="E69" s="105"/>
      <c r="F69" s="105"/>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21"/>
    </row>
    <row r="70" spans="1:52" ht="72.75" customHeight="1">
      <c r="A70" s="15" t="s">
        <v>109</v>
      </c>
      <c r="B70" s="17" t="s">
        <v>220</v>
      </c>
      <c r="C70" s="105"/>
      <c r="D70" s="105"/>
      <c r="E70" s="105"/>
      <c r="F70" s="105"/>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21"/>
    </row>
    <row r="71" spans="1:52" ht="52.9" customHeight="1">
      <c r="A71" s="111"/>
      <c r="B71" s="20" t="s">
        <v>206</v>
      </c>
      <c r="C71" s="105"/>
      <c r="D71" s="105"/>
      <c r="E71" s="105"/>
      <c r="F71" s="105"/>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21"/>
    </row>
    <row r="72" spans="1:52" ht="9.4" customHeight="1">
      <c r="A72" s="111"/>
      <c r="B72" s="104"/>
      <c r="C72" s="105"/>
      <c r="D72" s="105"/>
      <c r="E72" s="105"/>
      <c r="F72" s="105"/>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21"/>
    </row>
    <row r="73" spans="1:52" ht="0.75" hidden="1" customHeight="1">
      <c r="A73" s="152"/>
      <c r="B73" s="153"/>
      <c r="C73" s="154"/>
      <c r="D73" s="154"/>
      <c r="E73" s="154"/>
      <c r="F73" s="154"/>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row>
    <row r="74" spans="1:52" ht="0.75" hidden="1" customHeight="1"/>
    <row r="75" spans="1:52" ht="0.75" hidden="1" customHeight="1"/>
    <row r="76" spans="1:52" ht="0.75" hidden="1" customHeight="1"/>
    <row r="77" spans="1:52" ht="0.75" hidden="1" customHeight="1"/>
    <row r="78" spans="1:52" ht="0.75" hidden="1" customHeight="1"/>
    <row r="79" spans="1:52" ht="0.75" hidden="1" customHeight="1"/>
    <row r="80" spans="1:52" ht="0.75" hidden="1" customHeight="1"/>
    <row r="81" spans="1:51" ht="0.75" hidden="1" customHeight="1"/>
    <row r="82" spans="1:51" ht="0.75" hidden="1" customHeight="1"/>
    <row r="83" spans="1:51" ht="0.75" hidden="1" customHeight="1"/>
    <row r="84" spans="1:51" ht="0.75" hidden="1" customHeight="1"/>
    <row r="85" spans="1:51" ht="0.75" customHeight="1"/>
    <row r="86" spans="1:51" ht="33" hidden="1" customHeight="1">
      <c r="B86" s="92" t="s">
        <v>230</v>
      </c>
    </row>
    <row r="87" spans="1:51" ht="31.5" customHeight="1">
      <c r="B87" s="1249"/>
      <c r="C87" s="1249"/>
      <c r="D87" s="1249"/>
      <c r="E87" s="1249"/>
      <c r="F87" s="1249"/>
      <c r="G87" s="1249"/>
      <c r="H87" s="1249"/>
      <c r="I87" s="1249"/>
      <c r="J87" s="1249"/>
      <c r="K87" s="1249"/>
      <c r="L87" s="1249"/>
      <c r="M87" s="1249"/>
      <c r="N87" s="1249"/>
      <c r="O87" s="156"/>
      <c r="P87" s="156"/>
      <c r="Q87" s="156"/>
      <c r="R87" s="156"/>
      <c r="S87" s="156"/>
      <c r="T87" s="156"/>
      <c r="U87" s="156"/>
      <c r="V87" s="156"/>
      <c r="W87" s="156"/>
      <c r="X87" s="156"/>
      <c r="Y87" s="156"/>
      <c r="Z87" s="156"/>
      <c r="AA87" s="156"/>
      <c r="AB87" s="156"/>
      <c r="AC87" s="156"/>
      <c r="AD87" s="156"/>
      <c r="AE87" s="156"/>
      <c r="AF87" s="92"/>
      <c r="AG87" s="92"/>
      <c r="AH87" s="92"/>
      <c r="AI87" s="156"/>
      <c r="AJ87" s="156"/>
      <c r="AK87" s="92"/>
      <c r="AL87" s="92"/>
      <c r="AM87" s="92"/>
      <c r="AN87" s="156"/>
      <c r="AO87" s="156"/>
      <c r="AP87" s="156"/>
      <c r="AQ87" s="156"/>
      <c r="AR87" s="156"/>
      <c r="AS87" s="156"/>
      <c r="AT87" s="156"/>
      <c r="AU87" s="156"/>
      <c r="AV87" s="156"/>
      <c r="AW87" s="156"/>
      <c r="AX87" s="156"/>
      <c r="AY87" s="156"/>
    </row>
    <row r="88" spans="1:51" ht="19.899999999999999" customHeight="1"/>
    <row r="89" spans="1:51" ht="19.899999999999999" customHeight="1"/>
    <row r="90" spans="1:51" ht="19.899999999999999" customHeight="1"/>
    <row r="91" spans="1:51" ht="19.899999999999999" customHeight="1">
      <c r="A91" s="157"/>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row>
    <row r="92" spans="1:51" ht="19.899999999999999" customHeight="1">
      <c r="A92" s="157"/>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row>
    <row r="93" spans="1:51" ht="19.899999999999999" customHeight="1">
      <c r="A93" s="157"/>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row>
    <row r="94" spans="1:51" ht="19.899999999999999" customHeight="1">
      <c r="A94" s="157"/>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row>
    <row r="95" spans="1:51" ht="19.899999999999999" customHeight="1">
      <c r="A95" s="157"/>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row>
    <row r="96" spans="1:51" ht="19.899999999999999" customHeight="1">
      <c r="A96" s="157"/>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row>
    <row r="97" spans="1:51" ht="19.899999999999999" customHeight="1">
      <c r="A97" s="157"/>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row>
    <row r="98" spans="1:51" ht="19.899999999999999" customHeight="1">
      <c r="A98" s="157"/>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row>
    <row r="99" spans="1:51" ht="19.899999999999999" customHeight="1">
      <c r="A99" s="157"/>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row>
    <row r="100" spans="1:51" ht="19.899999999999999" customHeight="1">
      <c r="A100" s="157"/>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row>
    <row r="101" spans="1:51">
      <c r="A101" s="157"/>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row>
    <row r="102" spans="1:51">
      <c r="A102" s="157"/>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row>
    <row r="103" spans="1:51">
      <c r="A103" s="157"/>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row>
    <row r="104" spans="1:51">
      <c r="A104" s="157"/>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row>
    <row r="105" spans="1:51">
      <c r="A105" s="157"/>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row>
    <row r="106" spans="1:51">
      <c r="A106" s="157"/>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row>
    <row r="107" spans="1:51">
      <c r="A107" s="157"/>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row>
    <row r="108" spans="1:51">
      <c r="A108" s="157"/>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row>
    <row r="109" spans="1:51">
      <c r="A109" s="157"/>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row>
    <row r="110" spans="1:51">
      <c r="A110" s="157"/>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row>
    <row r="111" spans="1:51">
      <c r="A111" s="157"/>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row>
    <row r="112" spans="1:51">
      <c r="A112" s="157"/>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row>
    <row r="113" spans="1:51">
      <c r="A113" s="157"/>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row>
    <row r="114" spans="1:51">
      <c r="A114" s="157"/>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row>
    <row r="115" spans="1:51">
      <c r="A115" s="157"/>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row>
    <row r="116" spans="1:51">
      <c r="A116" s="157"/>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row>
    <row r="117" spans="1:51">
      <c r="A117" s="157"/>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row>
    <row r="118" spans="1:51">
      <c r="A118" s="157"/>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row>
    <row r="119" spans="1:51">
      <c r="A119" s="157"/>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row>
    <row r="120" spans="1:51">
      <c r="A120" s="157"/>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row>
    <row r="121" spans="1:51">
      <c r="A121" s="157"/>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row>
    <row r="122" spans="1:51">
      <c r="A122" s="157"/>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row>
    <row r="123" spans="1:51">
      <c r="A123" s="157"/>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row>
    <row r="124" spans="1:51">
      <c r="A124" s="157"/>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row>
    <row r="125" spans="1:51">
      <c r="A125" s="157"/>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row>
    <row r="126" spans="1:51">
      <c r="A126" s="157"/>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row>
    <row r="127" spans="1:51">
      <c r="A127" s="157"/>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row>
    <row r="128" spans="1:51">
      <c r="A128" s="157"/>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row>
    <row r="129" spans="1:51">
      <c r="A129" s="157"/>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row>
    <row r="130" spans="1:51">
      <c r="A130" s="157"/>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row>
    <row r="131" spans="1:51">
      <c r="A131" s="157"/>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row>
    <row r="132" spans="1:51">
      <c r="A132" s="157"/>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row>
    <row r="133" spans="1:51">
      <c r="A133" s="157"/>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row>
    <row r="134" spans="1:51">
      <c r="A134" s="157"/>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row>
    <row r="135" spans="1:51">
      <c r="A135" s="157"/>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row>
    <row r="136" spans="1:51">
      <c r="A136" s="157"/>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row>
    <row r="137" spans="1:51">
      <c r="A137" s="157"/>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row>
    <row r="138" spans="1:51">
      <c r="A138" s="157"/>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row>
    <row r="139" spans="1:51">
      <c r="A139" s="157"/>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row>
    <row r="140" spans="1:51">
      <c r="A140" s="157"/>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row>
    <row r="141" spans="1:51">
      <c r="A141" s="157"/>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row>
    <row r="142" spans="1:51">
      <c r="A142" s="157"/>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row>
    <row r="143" spans="1:51">
      <c r="A143" s="157"/>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row>
    <row r="144" spans="1:51">
      <c r="A144" s="157"/>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row>
    <row r="145" spans="1:51">
      <c r="A145" s="157"/>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row>
    <row r="146" spans="1:51">
      <c r="A146" s="157"/>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row>
    <row r="147" spans="1:51">
      <c r="A147" s="157"/>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row>
    <row r="148" spans="1:51">
      <c r="A148" s="157"/>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row>
    <row r="149" spans="1:51">
      <c r="A149" s="157"/>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row>
    <row r="150" spans="1:51">
      <c r="A150" s="157"/>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row>
    <row r="151" spans="1:51">
      <c r="A151" s="157"/>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row>
    <row r="152" spans="1:51">
      <c r="A152" s="157"/>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row>
    <row r="153" spans="1:51">
      <c r="A153" s="157"/>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row>
    <row r="154" spans="1:51">
      <c r="A154" s="157"/>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row>
    <row r="155" spans="1:51">
      <c r="A155" s="157"/>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row>
    <row r="156" spans="1:51">
      <c r="A156" s="157"/>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row>
    <row r="157" spans="1:51">
      <c r="A157" s="157"/>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row>
    <row r="158" spans="1:51">
      <c r="A158" s="157"/>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row>
    <row r="159" spans="1:51">
      <c r="A159" s="157"/>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row>
    <row r="160" spans="1:51">
      <c r="A160" s="157"/>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row>
    <row r="161" spans="1:51">
      <c r="A161" s="157"/>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row>
    <row r="162" spans="1:51">
      <c r="A162" s="157"/>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row>
    <row r="163" spans="1:51">
      <c r="A163" s="157"/>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row>
    <row r="164" spans="1:51">
      <c r="A164" s="157"/>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row>
    <row r="165" spans="1:51">
      <c r="A165" s="157"/>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row>
    <row r="166" spans="1:51">
      <c r="A166" s="157"/>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row>
    <row r="167" spans="1:51">
      <c r="A167" s="157"/>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row>
    <row r="168" spans="1:51">
      <c r="A168" s="157"/>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row>
    <row r="169" spans="1:51">
      <c r="A169" s="157"/>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row>
    <row r="170" spans="1:51">
      <c r="A170" s="157"/>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row>
    <row r="171" spans="1:51">
      <c r="A171" s="157"/>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row>
    <row r="172" spans="1:51">
      <c r="A172" s="157"/>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row>
    <row r="173" spans="1:51">
      <c r="A173" s="157"/>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row>
    <row r="174" spans="1:51">
      <c r="A174" s="157"/>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row>
    <row r="175" spans="1:51">
      <c r="A175" s="157"/>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row>
    <row r="176" spans="1:51">
      <c r="A176" s="157"/>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row>
    <row r="177" spans="1:51">
      <c r="A177" s="157"/>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row>
    <row r="178" spans="1:51">
      <c r="A178" s="157"/>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row>
    <row r="179" spans="1:51">
      <c r="A179" s="157"/>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row>
    <row r="180" spans="1:51">
      <c r="A180" s="157"/>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row>
    <row r="181" spans="1:51">
      <c r="A181" s="157"/>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row>
    <row r="182" spans="1:51">
      <c r="A182" s="157"/>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row>
    <row r="183" spans="1:51">
      <c r="A183" s="157"/>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row>
    <row r="184" spans="1:51">
      <c r="A184" s="157"/>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row>
    <row r="185" spans="1:51">
      <c r="A185" s="157"/>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row>
    <row r="186" spans="1:51">
      <c r="A186" s="157"/>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row>
    <row r="187" spans="1:51">
      <c r="A187" s="157"/>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row>
    <row r="188" spans="1:51">
      <c r="A188" s="157"/>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row>
    <row r="189" spans="1:51">
      <c r="A189" s="157"/>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row>
    <row r="190" spans="1:51">
      <c r="A190" s="157"/>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row>
    <row r="191" spans="1:51">
      <c r="A191" s="157"/>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row>
    <row r="192" spans="1:51">
      <c r="A192" s="157"/>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row>
    <row r="193" spans="1:51">
      <c r="A193" s="157"/>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row>
    <row r="194" spans="1:51">
      <c r="A194" s="157"/>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row>
    <row r="195" spans="1:51">
      <c r="A195" s="157"/>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row>
    <row r="196" spans="1:51">
      <c r="A196" s="157"/>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row>
    <row r="197" spans="1:51">
      <c r="A197" s="157"/>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row>
    <row r="198" spans="1:51">
      <c r="A198" s="157"/>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row>
    <row r="199" spans="1:51">
      <c r="A199" s="157"/>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row>
    <row r="200" spans="1:51">
      <c r="A200" s="157"/>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row>
    <row r="201" spans="1:51">
      <c r="A201" s="157"/>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row>
    <row r="202" spans="1:51">
      <c r="A202" s="157"/>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row>
    <row r="203" spans="1:51">
      <c r="A203" s="157"/>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row>
    <row r="204" spans="1:51">
      <c r="A204" s="157"/>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row>
    <row r="205" spans="1:51">
      <c r="A205" s="157"/>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row>
    <row r="206" spans="1:51">
      <c r="A206" s="157"/>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row>
    <row r="207" spans="1:51">
      <c r="A207" s="157"/>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row>
    <row r="208" spans="1:51">
      <c r="A208" s="157"/>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row>
    <row r="209" spans="1:51">
      <c r="A209" s="157"/>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row>
    <row r="210" spans="1:51">
      <c r="A210" s="157"/>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row>
    <row r="211" spans="1:51">
      <c r="A211" s="157"/>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row>
    <row r="212" spans="1:51">
      <c r="A212" s="157"/>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row>
    <row r="213" spans="1:51">
      <c r="A213" s="157"/>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row>
    <row r="214" spans="1:51">
      <c r="A214" s="157"/>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row>
    <row r="215" spans="1:51">
      <c r="A215" s="157"/>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row>
    <row r="216" spans="1:51">
      <c r="A216" s="157"/>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row>
    <row r="217" spans="1:51">
      <c r="A217" s="157"/>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row>
    <row r="218" spans="1:51">
      <c r="A218" s="157"/>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row>
    <row r="219" spans="1:51">
      <c r="A219" s="157"/>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row>
    <row r="220" spans="1:51">
      <c r="A220" s="157"/>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row>
    <row r="221" spans="1:51">
      <c r="A221" s="157"/>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row>
    <row r="222" spans="1:51">
      <c r="A222" s="157"/>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row>
    <row r="223" spans="1:51">
      <c r="A223" s="157"/>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row>
    <row r="224" spans="1:51">
      <c r="A224" s="157"/>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row>
    <row r="225" spans="1:51">
      <c r="A225" s="157"/>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row>
    <row r="226" spans="1:51">
      <c r="A226" s="157"/>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row>
    <row r="227" spans="1:51">
      <c r="A227" s="157"/>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row>
    <row r="228" spans="1:51">
      <c r="A228" s="157"/>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row>
    <row r="229" spans="1:51">
      <c r="A229" s="157"/>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row>
    <row r="230" spans="1:51">
      <c r="A230" s="157"/>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row>
    <row r="231" spans="1:51">
      <c r="A231" s="157"/>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row>
    <row r="232" spans="1:51">
      <c r="A232" s="157"/>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row>
    <row r="233" spans="1:51">
      <c r="A233" s="157"/>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row>
    <row r="234" spans="1:51">
      <c r="A234" s="157"/>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row>
    <row r="235" spans="1:51">
      <c r="A235" s="157"/>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row>
    <row r="236" spans="1:51">
      <c r="A236" s="157"/>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row>
    <row r="237" spans="1:51">
      <c r="A237" s="157"/>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row>
    <row r="238" spans="1:51">
      <c r="A238" s="157"/>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row>
    <row r="239" spans="1:51">
      <c r="A239" s="157"/>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row>
    <row r="240" spans="1:51">
      <c r="A240" s="157"/>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row>
    <row r="241" spans="1:51">
      <c r="A241" s="157"/>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row>
    <row r="242" spans="1:51">
      <c r="A242" s="157"/>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row>
    <row r="243" spans="1:51">
      <c r="A243" s="157"/>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row>
    <row r="244" spans="1:51">
      <c r="A244" s="157"/>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row>
    <row r="245" spans="1:51">
      <c r="A245" s="157"/>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row>
    <row r="246" spans="1:51">
      <c r="A246" s="157"/>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row>
    <row r="247" spans="1:51">
      <c r="A247" s="157"/>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row>
    <row r="248" spans="1:51">
      <c r="A248" s="157"/>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row>
    <row r="249" spans="1:51">
      <c r="A249" s="157"/>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row>
    <row r="250" spans="1:51">
      <c r="A250" s="157"/>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row>
    <row r="251" spans="1:51">
      <c r="A251" s="157"/>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row>
    <row r="252" spans="1:51">
      <c r="A252" s="157"/>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row>
    <row r="253" spans="1:51">
      <c r="A253" s="157"/>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row>
    <row r="254" spans="1:51">
      <c r="A254" s="157"/>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row>
    <row r="255" spans="1:51">
      <c r="A255" s="157"/>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c r="AY255" s="92"/>
    </row>
    <row r="256" spans="1:51">
      <c r="A256" s="157"/>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row>
    <row r="257" spans="1:51">
      <c r="A257" s="157"/>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row>
    <row r="258" spans="1:51">
      <c r="A258" s="157"/>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row>
    <row r="259" spans="1:51">
      <c r="A259" s="157"/>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row>
    <row r="260" spans="1:51">
      <c r="A260" s="157"/>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row>
    <row r="261" spans="1:51">
      <c r="A261" s="157"/>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row>
    <row r="262" spans="1:51">
      <c r="A262" s="157"/>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row>
    <row r="263" spans="1:51">
      <c r="A263" s="157"/>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row>
    <row r="264" spans="1:51">
      <c r="A264" s="157"/>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row>
    <row r="265" spans="1:51">
      <c r="A265" s="157"/>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row>
    <row r="266" spans="1:51">
      <c r="A266" s="157"/>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row>
    <row r="267" spans="1:51">
      <c r="A267" s="157"/>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row>
    <row r="268" spans="1:51">
      <c r="A268" s="157"/>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row>
    <row r="269" spans="1:51">
      <c r="A269" s="157"/>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row>
    <row r="270" spans="1:51">
      <c r="A270" s="157"/>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c r="AY270" s="92"/>
    </row>
    <row r="271" spans="1:51">
      <c r="A271" s="157"/>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row>
    <row r="272" spans="1:51">
      <c r="A272" s="157"/>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row>
    <row r="273" spans="1:51">
      <c r="A273" s="157"/>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c r="AV273" s="92"/>
      <c r="AW273" s="92"/>
      <c r="AX273" s="92"/>
      <c r="AY273" s="92"/>
    </row>
    <row r="274" spans="1:51">
      <c r="A274" s="157"/>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row>
    <row r="275" spans="1:51">
      <c r="A275" s="157"/>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row>
    <row r="276" spans="1:51">
      <c r="A276" s="157"/>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c r="AY276" s="92"/>
    </row>
    <row r="277" spans="1:51">
      <c r="A277" s="157"/>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row>
    <row r="278" spans="1:51">
      <c r="A278" s="157"/>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row>
    <row r="279" spans="1:51">
      <c r="A279" s="157"/>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row>
    <row r="280" spans="1:51">
      <c r="A280" s="157"/>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row>
    <row r="281" spans="1:51">
      <c r="A281" s="157"/>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c r="AY281" s="92"/>
    </row>
    <row r="282" spans="1:51">
      <c r="A282" s="157"/>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row>
    <row r="283" spans="1:51">
      <c r="A283" s="157"/>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row>
    <row r="284" spans="1:51">
      <c r="A284" s="157"/>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c r="AN284" s="92"/>
      <c r="AO284" s="92"/>
      <c r="AP284" s="92"/>
      <c r="AQ284" s="92"/>
      <c r="AR284" s="92"/>
      <c r="AS284" s="92"/>
      <c r="AT284" s="92"/>
      <c r="AU284" s="92"/>
      <c r="AV284" s="92"/>
      <c r="AW284" s="92"/>
      <c r="AX284" s="92"/>
      <c r="AY284" s="92"/>
    </row>
    <row r="285" spans="1:51">
      <c r="A285" s="157"/>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92"/>
      <c r="AP285" s="92"/>
      <c r="AQ285" s="92"/>
      <c r="AR285" s="92"/>
      <c r="AS285" s="92"/>
      <c r="AT285" s="92"/>
      <c r="AU285" s="92"/>
      <c r="AV285" s="92"/>
      <c r="AW285" s="92"/>
      <c r="AX285" s="92"/>
      <c r="AY285" s="92"/>
    </row>
    <row r="286" spans="1:51">
      <c r="A286" s="157"/>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row>
    <row r="287" spans="1:51">
      <c r="A287" s="157"/>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row>
    <row r="288" spans="1:51">
      <c r="A288" s="157"/>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row>
    <row r="289" spans="1:51">
      <c r="A289" s="157"/>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row>
    <row r="290" spans="1:51">
      <c r="A290" s="157"/>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row>
    <row r="291" spans="1:51">
      <c r="A291" s="157"/>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c r="AQ291" s="92"/>
      <c r="AR291" s="92"/>
      <c r="AS291" s="92"/>
      <c r="AT291" s="92"/>
      <c r="AU291" s="92"/>
      <c r="AV291" s="92"/>
      <c r="AW291" s="92"/>
      <c r="AX291" s="92"/>
      <c r="AY291" s="92"/>
    </row>
    <row r="292" spans="1:51">
      <c r="A292" s="157"/>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row>
    <row r="293" spans="1:51">
      <c r="A293" s="157"/>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row>
    <row r="294" spans="1:51">
      <c r="A294" s="157"/>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row>
    <row r="295" spans="1:51">
      <c r="A295" s="157"/>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row>
    <row r="296" spans="1:51">
      <c r="A296" s="157"/>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row>
    <row r="297" spans="1:51">
      <c r="A297" s="157"/>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row>
    <row r="298" spans="1:51">
      <c r="A298" s="157"/>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row>
    <row r="299" spans="1:51">
      <c r="A299" s="157"/>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row>
    <row r="300" spans="1:51">
      <c r="A300" s="157"/>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row>
    <row r="301" spans="1:51">
      <c r="A301" s="157"/>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row>
    <row r="302" spans="1:51">
      <c r="A302" s="157"/>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row>
    <row r="303" spans="1:51">
      <c r="A303" s="157"/>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c r="AQ303" s="92"/>
      <c r="AR303" s="92"/>
      <c r="AS303" s="92"/>
      <c r="AT303" s="92"/>
      <c r="AU303" s="92"/>
      <c r="AV303" s="92"/>
      <c r="AW303" s="92"/>
      <c r="AX303" s="92"/>
      <c r="AY303" s="92"/>
    </row>
    <row r="304" spans="1:51">
      <c r="A304" s="157"/>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row>
    <row r="305" spans="1:51">
      <c r="A305" s="157"/>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c r="AN305" s="92"/>
      <c r="AO305" s="92"/>
      <c r="AP305" s="92"/>
      <c r="AQ305" s="92"/>
      <c r="AR305" s="92"/>
      <c r="AS305" s="92"/>
      <c r="AT305" s="92"/>
      <c r="AU305" s="92"/>
      <c r="AV305" s="92"/>
      <c r="AW305" s="92"/>
      <c r="AX305" s="92"/>
      <c r="AY305" s="92"/>
    </row>
    <row r="306" spans="1:51">
      <c r="A306" s="157"/>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c r="AY306" s="92"/>
    </row>
    <row r="307" spans="1:51">
      <c r="A307" s="157"/>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row>
    <row r="308" spans="1:51">
      <c r="A308" s="157"/>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row>
    <row r="309" spans="1:51">
      <c r="A309" s="157"/>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row>
    <row r="310" spans="1:51">
      <c r="A310" s="157"/>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row>
    <row r="311" spans="1:51">
      <c r="A311" s="157"/>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row>
    <row r="312" spans="1:51">
      <c r="A312" s="157"/>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row>
    <row r="313" spans="1:51">
      <c r="A313" s="157"/>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row>
    <row r="314" spans="1:51">
      <c r="A314" s="157"/>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row>
    <row r="315" spans="1:51">
      <c r="A315" s="157"/>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row>
    <row r="316" spans="1:51">
      <c r="A316" s="157"/>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row>
    <row r="317" spans="1:51">
      <c r="A317" s="157"/>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row>
    <row r="318" spans="1:51">
      <c r="A318" s="157"/>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row>
    <row r="319" spans="1:51">
      <c r="A319" s="157"/>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row>
    <row r="320" spans="1:51">
      <c r="A320" s="157"/>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row>
    <row r="321" spans="1:51">
      <c r="A321" s="157"/>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row>
    <row r="322" spans="1:51">
      <c r="A322" s="157"/>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row>
    <row r="323" spans="1:51">
      <c r="A323" s="157"/>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row>
    <row r="324" spans="1:51">
      <c r="A324" s="157"/>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row>
    <row r="325" spans="1:51">
      <c r="A325" s="157"/>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c r="AY325" s="92"/>
    </row>
    <row r="326" spans="1:51">
      <c r="A326" s="157"/>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row>
    <row r="327" spans="1:51">
      <c r="A327" s="157"/>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row>
    <row r="328" spans="1:51">
      <c r="A328" s="157"/>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row>
    <row r="329" spans="1:51">
      <c r="A329" s="157"/>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row>
    <row r="330" spans="1:51">
      <c r="A330" s="157"/>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row>
    <row r="331" spans="1:51">
      <c r="A331" s="157"/>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row>
    <row r="332" spans="1:51">
      <c r="A332" s="157"/>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c r="AY332" s="92"/>
    </row>
    <row r="333" spans="1:51">
      <c r="A333" s="157"/>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row>
    <row r="334" spans="1:51">
      <c r="A334" s="157"/>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row>
    <row r="335" spans="1:51">
      <c r="A335" s="157"/>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row>
    <row r="336" spans="1:51">
      <c r="A336" s="157"/>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row>
    <row r="337" spans="1:51">
      <c r="A337" s="157"/>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row>
    <row r="338" spans="1:51">
      <c r="A338" s="157"/>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row>
    <row r="339" spans="1:51">
      <c r="A339" s="157"/>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row>
    <row r="340" spans="1:51">
      <c r="A340" s="157"/>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row>
    <row r="341" spans="1:51">
      <c r="A341" s="157"/>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row>
    <row r="342" spans="1:51">
      <c r="A342" s="157"/>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row>
    <row r="343" spans="1:51">
      <c r="A343" s="157"/>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row>
    <row r="344" spans="1:51">
      <c r="A344" s="157"/>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row>
    <row r="345" spans="1:51">
      <c r="A345" s="157"/>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row>
    <row r="346" spans="1:51">
      <c r="A346" s="157"/>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row>
    <row r="347" spans="1:51">
      <c r="A347" s="157"/>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row>
    <row r="348" spans="1:51">
      <c r="A348" s="157"/>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row>
    <row r="349" spans="1:51">
      <c r="A349" s="157"/>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row>
    <row r="350" spans="1:51">
      <c r="A350" s="157"/>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row>
    <row r="351" spans="1:51">
      <c r="A351" s="157"/>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row>
    <row r="352" spans="1:51">
      <c r="A352" s="157"/>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row>
    <row r="353" spans="1:51">
      <c r="A353" s="157"/>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row>
    <row r="354" spans="1:51">
      <c r="A354" s="157"/>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row>
    <row r="355" spans="1:51">
      <c r="A355" s="157"/>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row>
    <row r="356" spans="1:51">
      <c r="A356" s="157"/>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row>
    <row r="357" spans="1:51">
      <c r="A357" s="157"/>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row>
    <row r="358" spans="1:51">
      <c r="A358" s="157"/>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row>
    <row r="359" spans="1:51">
      <c r="A359" s="157"/>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row>
    <row r="360" spans="1:51">
      <c r="A360" s="157"/>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row>
    <row r="361" spans="1:51">
      <c r="A361" s="157"/>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row>
    <row r="362" spans="1:51">
      <c r="A362" s="157"/>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row>
    <row r="363" spans="1:51">
      <c r="A363" s="157"/>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row>
    <row r="364" spans="1:51">
      <c r="A364" s="157"/>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row>
    <row r="365" spans="1:51">
      <c r="A365" s="157"/>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row>
    <row r="366" spans="1:51">
      <c r="A366" s="157"/>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row>
    <row r="367" spans="1:51">
      <c r="A367" s="157"/>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row>
    <row r="368" spans="1:51">
      <c r="A368" s="157"/>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row>
    <row r="369" spans="1:51">
      <c r="A369" s="157"/>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row>
    <row r="370" spans="1:51">
      <c r="A370" s="157"/>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row>
    <row r="371" spans="1:51">
      <c r="A371" s="157"/>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row>
    <row r="372" spans="1:51">
      <c r="A372" s="157"/>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row>
    <row r="373" spans="1:51">
      <c r="A373" s="157"/>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row>
    <row r="374" spans="1:51">
      <c r="A374" s="157"/>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row>
    <row r="375" spans="1:51">
      <c r="A375" s="157"/>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row>
    <row r="376" spans="1:51">
      <c r="A376" s="157"/>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row>
    <row r="377" spans="1:51">
      <c r="A377" s="157"/>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92"/>
      <c r="AO377" s="92"/>
      <c r="AP377" s="92"/>
      <c r="AQ377" s="92"/>
      <c r="AR377" s="92"/>
      <c r="AS377" s="92"/>
      <c r="AT377" s="92"/>
      <c r="AU377" s="92"/>
      <c r="AV377" s="92"/>
      <c r="AW377" s="92"/>
      <c r="AX377" s="92"/>
      <c r="AY377" s="92"/>
    </row>
    <row r="378" spans="1:51">
      <c r="A378" s="157"/>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row>
    <row r="379" spans="1:51">
      <c r="A379" s="157"/>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row>
    <row r="380" spans="1:51">
      <c r="A380" s="157"/>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row>
    <row r="381" spans="1:51">
      <c r="A381" s="157"/>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row>
    <row r="382" spans="1:51">
      <c r="A382" s="157"/>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row>
    <row r="383" spans="1:51">
      <c r="A383" s="157"/>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row>
    <row r="384" spans="1:51">
      <c r="A384" s="157"/>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row>
    <row r="385" spans="1:51">
      <c r="A385" s="157"/>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row>
    <row r="386" spans="1:51">
      <c r="A386" s="157"/>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row>
    <row r="387" spans="1:51">
      <c r="A387" s="157"/>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row>
    <row r="388" spans="1:51">
      <c r="A388" s="157"/>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row>
    <row r="389" spans="1:51">
      <c r="A389" s="157"/>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row>
    <row r="390" spans="1:51">
      <c r="A390" s="157"/>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row>
    <row r="391" spans="1:51">
      <c r="A391" s="157"/>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c r="AN391" s="92"/>
      <c r="AO391" s="92"/>
      <c r="AP391" s="92"/>
      <c r="AQ391" s="92"/>
      <c r="AR391" s="92"/>
      <c r="AS391" s="92"/>
      <c r="AT391" s="92"/>
      <c r="AU391" s="92"/>
      <c r="AV391" s="92"/>
      <c r="AW391" s="92"/>
      <c r="AX391" s="92"/>
      <c r="AY391" s="92"/>
    </row>
    <row r="392" spans="1:51">
      <c r="A392" s="157"/>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row>
    <row r="393" spans="1:51">
      <c r="A393" s="157"/>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row>
    <row r="394" spans="1:51">
      <c r="A394" s="157"/>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c r="AN394" s="92"/>
      <c r="AO394" s="92"/>
      <c r="AP394" s="92"/>
      <c r="AQ394" s="92"/>
      <c r="AR394" s="92"/>
      <c r="AS394" s="92"/>
      <c r="AT394" s="92"/>
      <c r="AU394" s="92"/>
      <c r="AV394" s="92"/>
      <c r="AW394" s="92"/>
      <c r="AX394" s="92"/>
      <c r="AY394" s="92"/>
    </row>
    <row r="395" spans="1:51">
      <c r="A395" s="157"/>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row>
    <row r="396" spans="1:51">
      <c r="A396" s="157"/>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row>
    <row r="397" spans="1:51">
      <c r="A397" s="157"/>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row>
    <row r="398" spans="1:51">
      <c r="A398" s="157"/>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row>
    <row r="399" spans="1:51">
      <c r="A399" s="157"/>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92"/>
      <c r="AV399" s="92"/>
      <c r="AW399" s="92"/>
      <c r="AX399" s="92"/>
      <c r="AY399" s="92"/>
    </row>
    <row r="400" spans="1:51">
      <c r="A400" s="157"/>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c r="AN400" s="92"/>
      <c r="AO400" s="92"/>
      <c r="AP400" s="92"/>
      <c r="AQ400" s="92"/>
      <c r="AR400" s="92"/>
      <c r="AS400" s="92"/>
      <c r="AT400" s="92"/>
      <c r="AU400" s="92"/>
      <c r="AV400" s="92"/>
      <c r="AW400" s="92"/>
      <c r="AX400" s="92"/>
      <c r="AY400" s="92"/>
    </row>
    <row r="401" spans="1:51">
      <c r="A401" s="157"/>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row>
    <row r="402" spans="1:51">
      <c r="A402" s="157"/>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92"/>
      <c r="AV402" s="92"/>
      <c r="AW402" s="92"/>
      <c r="AX402" s="92"/>
      <c r="AY402" s="92"/>
    </row>
    <row r="403" spans="1:51">
      <c r="A403" s="157"/>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row>
    <row r="404" spans="1:51">
      <c r="A404" s="157"/>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row>
    <row r="405" spans="1:51">
      <c r="A405" s="157"/>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c r="AN405" s="92"/>
      <c r="AO405" s="92"/>
      <c r="AP405" s="92"/>
      <c r="AQ405" s="92"/>
      <c r="AR405" s="92"/>
      <c r="AS405" s="92"/>
      <c r="AT405" s="92"/>
      <c r="AU405" s="92"/>
      <c r="AV405" s="92"/>
      <c r="AW405" s="92"/>
      <c r="AX405" s="92"/>
      <c r="AY405" s="92"/>
    </row>
    <row r="406" spans="1:51">
      <c r="A406" s="157"/>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92"/>
      <c r="AO406" s="92"/>
      <c r="AP406" s="92"/>
      <c r="AQ406" s="92"/>
      <c r="AR406" s="92"/>
      <c r="AS406" s="92"/>
      <c r="AT406" s="92"/>
      <c r="AU406" s="92"/>
      <c r="AV406" s="92"/>
      <c r="AW406" s="92"/>
      <c r="AX406" s="92"/>
      <c r="AY406" s="92"/>
    </row>
    <row r="407" spans="1:51">
      <c r="A407" s="157"/>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row>
    <row r="408" spans="1:51">
      <c r="A408" s="157"/>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row>
    <row r="409" spans="1:51">
      <c r="A409" s="157"/>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2"/>
      <c r="AY409" s="92"/>
    </row>
    <row r="410" spans="1:51">
      <c r="A410" s="157"/>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row>
    <row r="411" spans="1:51">
      <c r="A411" s="157"/>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c r="AN411" s="92"/>
      <c r="AO411" s="92"/>
      <c r="AP411" s="92"/>
      <c r="AQ411" s="92"/>
      <c r="AR411" s="92"/>
      <c r="AS411" s="92"/>
      <c r="AT411" s="92"/>
      <c r="AU411" s="92"/>
      <c r="AV411" s="92"/>
      <c r="AW411" s="92"/>
      <c r="AX411" s="92"/>
      <c r="AY411" s="92"/>
    </row>
    <row r="412" spans="1:51">
      <c r="A412" s="157"/>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row>
    <row r="413" spans="1:51">
      <c r="A413" s="157"/>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row>
    <row r="414" spans="1:51">
      <c r="A414" s="157"/>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c r="AN414" s="92"/>
      <c r="AO414" s="92"/>
      <c r="AP414" s="92"/>
      <c r="AQ414" s="92"/>
      <c r="AR414" s="92"/>
      <c r="AS414" s="92"/>
      <c r="AT414" s="92"/>
      <c r="AU414" s="92"/>
      <c r="AV414" s="92"/>
      <c r="AW414" s="92"/>
      <c r="AX414" s="92"/>
      <c r="AY414" s="92"/>
    </row>
    <row r="415" spans="1:51">
      <c r="A415" s="157"/>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row>
    <row r="416" spans="1:51">
      <c r="A416" s="157"/>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c r="AN416" s="92"/>
      <c r="AO416" s="92"/>
      <c r="AP416" s="92"/>
      <c r="AQ416" s="92"/>
      <c r="AR416" s="92"/>
      <c r="AS416" s="92"/>
      <c r="AT416" s="92"/>
      <c r="AU416" s="92"/>
      <c r="AV416" s="92"/>
      <c r="AW416" s="92"/>
      <c r="AX416" s="92"/>
      <c r="AY416" s="92"/>
    </row>
    <row r="417" spans="1:51">
      <c r="A417" s="157"/>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c r="AN417" s="92"/>
      <c r="AO417" s="92"/>
      <c r="AP417" s="92"/>
      <c r="AQ417" s="92"/>
      <c r="AR417" s="92"/>
      <c r="AS417" s="92"/>
      <c r="AT417" s="92"/>
      <c r="AU417" s="92"/>
      <c r="AV417" s="92"/>
      <c r="AW417" s="92"/>
      <c r="AX417" s="92"/>
      <c r="AY417" s="92"/>
    </row>
    <row r="418" spans="1:51">
      <c r="A418" s="157"/>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row>
    <row r="419" spans="1:51">
      <c r="A419" s="157"/>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row>
    <row r="420" spans="1:51">
      <c r="A420" s="157"/>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row>
    <row r="421" spans="1:51">
      <c r="A421" s="157"/>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row>
    <row r="422" spans="1:51">
      <c r="A422" s="157"/>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row>
  </sheetData>
  <mergeCells count="74">
    <mergeCell ref="A1:L1"/>
    <mergeCell ref="AV1:AX1"/>
    <mergeCell ref="A2:L2"/>
    <mergeCell ref="AV2:AX2"/>
    <mergeCell ref="A3:AZ3"/>
    <mergeCell ref="A4:AZ4"/>
    <mergeCell ref="A5:AZ5"/>
    <mergeCell ref="L6:AE6"/>
    <mergeCell ref="AF6:AY6"/>
    <mergeCell ref="L7:P7"/>
    <mergeCell ref="Q7:U7"/>
    <mergeCell ref="V7:Z7"/>
    <mergeCell ref="AA7:AE7"/>
    <mergeCell ref="AF7:AJ7"/>
    <mergeCell ref="AK7:AT7"/>
    <mergeCell ref="AU7:AY7"/>
    <mergeCell ref="T9:T10"/>
    <mergeCell ref="U9:U10"/>
    <mergeCell ref="V8:V10"/>
    <mergeCell ref="W9:W10"/>
    <mergeCell ref="G8:K8"/>
    <mergeCell ref="M8:P8"/>
    <mergeCell ref="R8:U8"/>
    <mergeCell ref="W8:Z8"/>
    <mergeCell ref="O9:O10"/>
    <mergeCell ref="P9:P10"/>
    <mergeCell ref="Q8:Q10"/>
    <mergeCell ref="R9:R10"/>
    <mergeCell ref="S9:S10"/>
    <mergeCell ref="X9:X10"/>
    <mergeCell ref="Y9:Y10"/>
    <mergeCell ref="Z9:Z10"/>
    <mergeCell ref="B87:N87"/>
    <mergeCell ref="A6:A10"/>
    <mergeCell ref="B6:B10"/>
    <mergeCell ref="C6:C10"/>
    <mergeCell ref="D6:D10"/>
    <mergeCell ref="E6:E10"/>
    <mergeCell ref="F8:F10"/>
    <mergeCell ref="G9:G10"/>
    <mergeCell ref="L8:L10"/>
    <mergeCell ref="M9:M10"/>
    <mergeCell ref="N9:N10"/>
    <mergeCell ref="F6:K7"/>
    <mergeCell ref="H9:K9"/>
    <mergeCell ref="AA8:AA10"/>
    <mergeCell ref="AB9:AB10"/>
    <mergeCell ref="AB8:AE8"/>
    <mergeCell ref="AC9:AC10"/>
    <mergeCell ref="AD9:AD10"/>
    <mergeCell ref="AE9:AE10"/>
    <mergeCell ref="AF8:AF10"/>
    <mergeCell ref="AG9:AG10"/>
    <mergeCell ref="AG8:AJ8"/>
    <mergeCell ref="AH9:AH10"/>
    <mergeCell ref="AI9:AI10"/>
    <mergeCell ref="AJ9:AJ10"/>
    <mergeCell ref="AK8:AK10"/>
    <mergeCell ref="AL9:AL10"/>
    <mergeCell ref="AL8:AO8"/>
    <mergeCell ref="AM9:AM10"/>
    <mergeCell ref="AN9:AN10"/>
    <mergeCell ref="AO9:AO10"/>
    <mergeCell ref="AU8:AU10"/>
    <mergeCell ref="AZ6:AZ10"/>
    <mergeCell ref="AP8:AT8"/>
    <mergeCell ref="AV8:AY8"/>
    <mergeCell ref="AV9:AW9"/>
    <mergeCell ref="AX9:AY9"/>
    <mergeCell ref="AP9:AP10"/>
    <mergeCell ref="AQ9:AQ10"/>
    <mergeCell ref="AR9:AR10"/>
    <mergeCell ref="AS9:AS10"/>
    <mergeCell ref="AT9:AT10"/>
  </mergeCells>
  <printOptions horizontalCentered="1"/>
  <pageMargins left="0.23622047244094499" right="0.23622047244094499" top="0.74803149606299202" bottom="0.74803149606299202" header="0.31496062992126" footer="0.31496062992126"/>
  <pageSetup paperSize="8" scale="46" fitToWidth="0" fitToHeight="0" pageOrder="overThenDown" orientation="landscape" useFirstPageNumber="1"/>
  <headerFooter differentFirst="1">
    <oddFooter>&amp;R&amp;14&amp;P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S581"/>
  <sheetViews>
    <sheetView topLeftCell="C1" zoomScale="50" zoomScaleNormal="50" zoomScaleSheetLayoutView="50" zoomScalePageLayoutView="55" workbookViewId="0">
      <selection activeCell="E13" sqref="E13"/>
    </sheetView>
  </sheetViews>
  <sheetFormatPr defaultColWidth="9.140625" defaultRowHeight="20.25"/>
  <cols>
    <col min="1" max="1" width="10.140625" style="835" customWidth="1"/>
    <col min="2" max="2" width="57.42578125" style="736" customWidth="1"/>
    <col min="3" max="3" width="17" style="835" customWidth="1"/>
    <col min="4" max="4" width="24.7109375" style="835" customWidth="1"/>
    <col min="5" max="5" width="18.140625" style="836" customWidth="1"/>
    <col min="6" max="7" width="20" style="836" customWidth="1"/>
    <col min="8" max="8" width="21" style="836" customWidth="1"/>
    <col min="9" max="9" width="20.7109375" style="836" customWidth="1"/>
    <col min="10" max="10" width="17.28515625" style="836" customWidth="1"/>
    <col min="11" max="11" width="16.5703125" style="836" customWidth="1"/>
    <col min="12" max="13" width="19" style="836" customWidth="1"/>
    <col min="14" max="14" width="21" style="836" customWidth="1"/>
    <col min="15" max="15" width="21.42578125" style="836" customWidth="1"/>
    <col min="16" max="16" width="16.42578125" style="836" customWidth="1"/>
    <col min="17" max="17" width="15.42578125" style="836" customWidth="1"/>
    <col min="18" max="18" width="19" style="836" customWidth="1"/>
    <col min="19" max="19" width="52.7109375" style="837" customWidth="1"/>
    <col min="20" max="20" width="45.85546875" style="736" bestFit="1" customWidth="1"/>
    <col min="21" max="16384" width="9.140625" style="736"/>
  </cols>
  <sheetData>
    <row r="1" spans="1:19" s="735" customFormat="1" ht="32.25" customHeight="1">
      <c r="A1" s="1290" t="s">
        <v>2136</v>
      </c>
      <c r="B1" s="1290"/>
      <c r="C1" s="1290"/>
      <c r="D1" s="1290"/>
      <c r="E1" s="1290"/>
      <c r="F1" s="1290"/>
      <c r="G1" s="1290"/>
      <c r="H1" s="1290"/>
      <c r="I1" s="1290"/>
      <c r="J1" s="1290"/>
      <c r="K1" s="1290"/>
      <c r="L1" s="1290"/>
      <c r="M1" s="1290"/>
      <c r="N1" s="1290"/>
      <c r="O1" s="1290"/>
      <c r="P1" s="1290"/>
      <c r="Q1" s="1290"/>
      <c r="R1" s="1290"/>
      <c r="S1" s="1290"/>
    </row>
    <row r="2" spans="1:19" ht="26.25" customHeight="1">
      <c r="A2" s="1290" t="s">
        <v>1874</v>
      </c>
      <c r="B2" s="1290"/>
      <c r="C2" s="1290"/>
      <c r="D2" s="1290"/>
      <c r="E2" s="1290"/>
      <c r="F2" s="1290"/>
      <c r="G2" s="1290"/>
      <c r="H2" s="1290"/>
      <c r="I2" s="1290"/>
      <c r="J2" s="1290"/>
      <c r="K2" s="1290"/>
      <c r="L2" s="1290"/>
      <c r="M2" s="1290"/>
      <c r="N2" s="1290"/>
      <c r="O2" s="1290"/>
      <c r="P2" s="1290"/>
      <c r="Q2" s="1290"/>
      <c r="R2" s="1290"/>
      <c r="S2" s="1290"/>
    </row>
    <row r="3" spans="1:19" s="735" customFormat="1" ht="35.25" customHeight="1">
      <c r="A3" s="1291" t="s">
        <v>2377</v>
      </c>
      <c r="B3" s="1291"/>
      <c r="C3" s="1291"/>
      <c r="D3" s="1291"/>
      <c r="E3" s="1291"/>
      <c r="F3" s="1291"/>
      <c r="G3" s="1291"/>
      <c r="H3" s="1291"/>
      <c r="I3" s="1291"/>
      <c r="J3" s="1291"/>
      <c r="K3" s="1291"/>
      <c r="L3" s="1291"/>
      <c r="M3" s="1291"/>
      <c r="N3" s="1291"/>
      <c r="O3" s="1291"/>
      <c r="P3" s="1291"/>
      <c r="Q3" s="1291"/>
      <c r="R3" s="1291"/>
      <c r="S3" s="1291"/>
    </row>
    <row r="4" spans="1:19" ht="38.25" customHeight="1">
      <c r="A4" s="1292" t="s">
        <v>6</v>
      </c>
      <c r="B4" s="1292"/>
      <c r="C4" s="1292"/>
      <c r="D4" s="1292"/>
      <c r="E4" s="1292"/>
      <c r="F4" s="1292"/>
      <c r="G4" s="1292"/>
      <c r="H4" s="1292"/>
      <c r="I4" s="1292"/>
      <c r="J4" s="1292"/>
      <c r="K4" s="1292"/>
      <c r="L4" s="1292"/>
      <c r="M4" s="1292"/>
      <c r="N4" s="1292"/>
      <c r="O4" s="1292"/>
      <c r="P4" s="1292"/>
      <c r="Q4" s="1292"/>
      <c r="R4" s="1292"/>
      <c r="S4" s="1292"/>
    </row>
    <row r="5" spans="1:19" ht="45" customHeight="1">
      <c r="A5" s="1280" t="s">
        <v>7</v>
      </c>
      <c r="B5" s="1280" t="s">
        <v>69</v>
      </c>
      <c r="C5" s="1280" t="s">
        <v>70</v>
      </c>
      <c r="D5" s="1284" t="s">
        <v>174</v>
      </c>
      <c r="E5" s="1285"/>
      <c r="F5" s="1285"/>
      <c r="G5" s="1286"/>
      <c r="H5" s="1280" t="s">
        <v>2208</v>
      </c>
      <c r="I5" s="1280"/>
      <c r="J5" s="1280"/>
      <c r="K5" s="1280"/>
      <c r="L5" s="1280"/>
      <c r="M5" s="1280" t="s">
        <v>2207</v>
      </c>
      <c r="N5" s="1284" t="s">
        <v>1847</v>
      </c>
      <c r="O5" s="1285"/>
      <c r="P5" s="1285"/>
      <c r="Q5" s="1285"/>
      <c r="R5" s="1285"/>
      <c r="S5" s="1280" t="s">
        <v>11</v>
      </c>
    </row>
    <row r="6" spans="1:19" s="737" customFormat="1" ht="54" customHeight="1">
      <c r="A6" s="1280"/>
      <c r="B6" s="1280"/>
      <c r="C6" s="1280"/>
      <c r="D6" s="1287"/>
      <c r="E6" s="1288"/>
      <c r="F6" s="1288"/>
      <c r="G6" s="1289"/>
      <c r="H6" s="1280"/>
      <c r="I6" s="1280"/>
      <c r="J6" s="1280"/>
      <c r="K6" s="1280"/>
      <c r="L6" s="1280"/>
      <c r="M6" s="1280"/>
      <c r="N6" s="1287"/>
      <c r="O6" s="1288"/>
      <c r="P6" s="1288"/>
      <c r="Q6" s="1288"/>
      <c r="R6" s="1288"/>
      <c r="S6" s="1280"/>
    </row>
    <row r="7" spans="1:19" s="737" customFormat="1" ht="58.5" customHeight="1">
      <c r="A7" s="1280"/>
      <c r="B7" s="1280"/>
      <c r="C7" s="1280"/>
      <c r="D7" s="1280" t="s">
        <v>72</v>
      </c>
      <c r="E7" s="1281" t="s">
        <v>175</v>
      </c>
      <c r="F7" s="1282"/>
      <c r="G7" s="1283"/>
      <c r="H7" s="1280" t="s">
        <v>74</v>
      </c>
      <c r="I7" s="1280" t="s">
        <v>275</v>
      </c>
      <c r="J7" s="1280"/>
      <c r="K7" s="1280"/>
      <c r="L7" s="1280" t="s">
        <v>274</v>
      </c>
      <c r="M7" s="1280"/>
      <c r="N7" s="1280" t="s">
        <v>74</v>
      </c>
      <c r="O7" s="1280" t="s">
        <v>275</v>
      </c>
      <c r="P7" s="1280"/>
      <c r="Q7" s="1280"/>
      <c r="R7" s="1280" t="s">
        <v>274</v>
      </c>
      <c r="S7" s="1280"/>
    </row>
    <row r="8" spans="1:19" s="737" customFormat="1" ht="39.75" customHeight="1">
      <c r="A8" s="1280"/>
      <c r="B8" s="1280"/>
      <c r="C8" s="1280"/>
      <c r="D8" s="1280"/>
      <c r="E8" s="1280" t="s">
        <v>74</v>
      </c>
      <c r="F8" s="1280" t="s">
        <v>273</v>
      </c>
      <c r="G8" s="1280" t="s">
        <v>1892</v>
      </c>
      <c r="H8" s="1280"/>
      <c r="I8" s="1280" t="s">
        <v>276</v>
      </c>
      <c r="J8" s="1293" t="s">
        <v>82</v>
      </c>
      <c r="K8" s="1293"/>
      <c r="L8" s="1280"/>
      <c r="M8" s="1280"/>
      <c r="N8" s="1280"/>
      <c r="O8" s="1280" t="s">
        <v>276</v>
      </c>
      <c r="P8" s="1293" t="s">
        <v>82</v>
      </c>
      <c r="Q8" s="1293"/>
      <c r="R8" s="1280"/>
      <c r="S8" s="1280"/>
    </row>
    <row r="9" spans="1:19" s="737" customFormat="1" ht="114.75" customHeight="1">
      <c r="A9" s="1280"/>
      <c r="B9" s="1280"/>
      <c r="C9" s="1280"/>
      <c r="D9" s="1280"/>
      <c r="E9" s="1280"/>
      <c r="F9" s="1280"/>
      <c r="G9" s="1280"/>
      <c r="H9" s="1280"/>
      <c r="I9" s="1280"/>
      <c r="J9" s="375" t="s">
        <v>84</v>
      </c>
      <c r="K9" s="375" t="s">
        <v>85</v>
      </c>
      <c r="L9" s="1280"/>
      <c r="M9" s="1280"/>
      <c r="N9" s="1280"/>
      <c r="O9" s="1280"/>
      <c r="P9" s="375" t="s">
        <v>84</v>
      </c>
      <c r="Q9" s="375" t="s">
        <v>85</v>
      </c>
      <c r="R9" s="1280"/>
      <c r="S9" s="1280"/>
    </row>
    <row r="10" spans="1:19" s="287" customFormat="1" ht="33" customHeight="1">
      <c r="A10" s="738">
        <v>1</v>
      </c>
      <c r="B10" s="738">
        <v>2</v>
      </c>
      <c r="C10" s="738">
        <v>3</v>
      </c>
      <c r="D10" s="738">
        <v>4</v>
      </c>
      <c r="E10" s="738">
        <v>5</v>
      </c>
      <c r="F10" s="738">
        <v>6</v>
      </c>
      <c r="G10" s="738">
        <v>7</v>
      </c>
      <c r="H10" s="738">
        <v>8</v>
      </c>
      <c r="I10" s="738">
        <v>9</v>
      </c>
      <c r="J10" s="738">
        <v>10</v>
      </c>
      <c r="K10" s="738">
        <v>11</v>
      </c>
      <c r="L10" s="738">
        <v>12</v>
      </c>
      <c r="M10" s="738">
        <v>13</v>
      </c>
      <c r="N10" s="738">
        <v>14</v>
      </c>
      <c r="O10" s="738">
        <v>15</v>
      </c>
      <c r="P10" s="738">
        <v>16</v>
      </c>
      <c r="Q10" s="738">
        <v>17</v>
      </c>
      <c r="R10" s="738">
        <v>18</v>
      </c>
      <c r="S10" s="738">
        <v>19</v>
      </c>
    </row>
    <row r="11" spans="1:19" s="741" customFormat="1" ht="91.5" customHeight="1">
      <c r="A11" s="739"/>
      <c r="B11" s="433" t="s">
        <v>27</v>
      </c>
      <c r="C11" s="433"/>
      <c r="D11" s="739"/>
      <c r="E11" s="740">
        <f t="shared" ref="E11:R11" si="0">E12+E13+E14+E41+E20+E17+E21</f>
        <v>20236632</v>
      </c>
      <c r="F11" s="740">
        <f t="shared" si="0"/>
        <v>7982254</v>
      </c>
      <c r="G11" s="740">
        <f t="shared" si="0"/>
        <v>641674</v>
      </c>
      <c r="H11" s="740">
        <f t="shared" si="0"/>
        <v>8533218</v>
      </c>
      <c r="I11" s="740">
        <f t="shared" si="0"/>
        <v>7798688</v>
      </c>
      <c r="J11" s="740"/>
      <c r="K11" s="740"/>
      <c r="L11" s="740">
        <f t="shared" si="0"/>
        <v>734530</v>
      </c>
      <c r="M11" s="740">
        <f t="shared" si="0"/>
        <v>5382578</v>
      </c>
      <c r="N11" s="740">
        <f t="shared" si="0"/>
        <v>8982934</v>
      </c>
      <c r="O11" s="740">
        <f t="shared" si="0"/>
        <v>8122688</v>
      </c>
      <c r="P11" s="740"/>
      <c r="Q11" s="740"/>
      <c r="R11" s="740">
        <f t="shared" si="0"/>
        <v>860246</v>
      </c>
      <c r="S11" s="514"/>
    </row>
    <row r="12" spans="1:19" s="746" customFormat="1" ht="78.75" customHeight="1">
      <c r="A12" s="742" t="s">
        <v>86</v>
      </c>
      <c r="B12" s="743" t="s">
        <v>1875</v>
      </c>
      <c r="C12" s="744"/>
      <c r="D12" s="296"/>
      <c r="E12" s="296"/>
      <c r="F12" s="745">
        <v>1000000</v>
      </c>
      <c r="G12" s="745"/>
      <c r="H12" s="745">
        <f>I12+L12</f>
        <v>1000000</v>
      </c>
      <c r="I12" s="745">
        <v>1000000</v>
      </c>
      <c r="J12" s="745"/>
      <c r="K12" s="745"/>
      <c r="L12" s="745"/>
      <c r="M12" s="534">
        <f>255570+157820+170000+218198</f>
        <v>801588</v>
      </c>
      <c r="N12" s="745">
        <f>SUM(O12:R12)</f>
        <v>1000000</v>
      </c>
      <c r="O12" s="745">
        <f>I12</f>
        <v>1000000</v>
      </c>
      <c r="P12" s="745"/>
      <c r="Q12" s="745"/>
      <c r="R12" s="745"/>
      <c r="S12" s="514" t="s">
        <v>1880</v>
      </c>
    </row>
    <row r="13" spans="1:19" s="746" customFormat="1" ht="111" customHeight="1">
      <c r="A13" s="742" t="s">
        <v>88</v>
      </c>
      <c r="B13" s="743" t="s">
        <v>1902</v>
      </c>
      <c r="C13" s="744"/>
      <c r="D13" s="296"/>
      <c r="E13" s="296"/>
      <c r="F13" s="745">
        <v>24000</v>
      </c>
      <c r="G13" s="745">
        <v>12898</v>
      </c>
      <c r="H13" s="745">
        <f>I13+L13</f>
        <v>36898</v>
      </c>
      <c r="I13" s="745">
        <v>24000</v>
      </c>
      <c r="J13" s="745"/>
      <c r="K13" s="745"/>
      <c r="L13" s="745">
        <f>9106+3792</f>
        <v>12898</v>
      </c>
      <c r="M13" s="745">
        <f>14770+591+1325+8475+2675+3180+482</f>
        <v>31498</v>
      </c>
      <c r="N13" s="745">
        <f>SUM(O13:R13)</f>
        <v>36728</v>
      </c>
      <c r="O13" s="745">
        <f>I13</f>
        <v>24000</v>
      </c>
      <c r="P13" s="745"/>
      <c r="Q13" s="745"/>
      <c r="R13" s="745">
        <f>591+8475+3180+482</f>
        <v>12728</v>
      </c>
      <c r="S13" s="514" t="s">
        <v>1881</v>
      </c>
    </row>
    <row r="14" spans="1:19" s="746" customFormat="1" ht="110.25" customHeight="1">
      <c r="A14" s="742" t="s">
        <v>89</v>
      </c>
      <c r="B14" s="743" t="s">
        <v>1876</v>
      </c>
      <c r="C14" s="514"/>
      <c r="D14" s="296"/>
      <c r="E14" s="296"/>
      <c r="F14" s="296"/>
      <c r="G14" s="745">
        <f>G15+G16</f>
        <v>59400</v>
      </c>
      <c r="H14" s="745">
        <f t="shared" ref="H14" si="1">H15+H16</f>
        <v>59400</v>
      </c>
      <c r="I14" s="745"/>
      <c r="J14" s="745"/>
      <c r="K14" s="745"/>
      <c r="L14" s="745">
        <f t="shared" ref="L14" si="2">L15+L16</f>
        <v>59400</v>
      </c>
      <c r="M14" s="745">
        <f t="shared" ref="M14:R14" si="3">M15+M16</f>
        <v>46792</v>
      </c>
      <c r="N14" s="745">
        <f t="shared" si="3"/>
        <v>46792</v>
      </c>
      <c r="O14" s="745"/>
      <c r="P14" s="745"/>
      <c r="Q14" s="745"/>
      <c r="R14" s="745">
        <f t="shared" si="3"/>
        <v>46792</v>
      </c>
      <c r="S14" s="747"/>
    </row>
    <row r="15" spans="1:19" s="746" customFormat="1" ht="100.5" customHeight="1">
      <c r="A15" s="742"/>
      <c r="B15" s="748" t="s">
        <v>949</v>
      </c>
      <c r="C15" s="514"/>
      <c r="D15" s="296"/>
      <c r="E15" s="296"/>
      <c r="F15" s="296"/>
      <c r="G15" s="355">
        <v>59400</v>
      </c>
      <c r="H15" s="749">
        <f>I15+L15</f>
        <v>59400</v>
      </c>
      <c r="I15" s="749"/>
      <c r="J15" s="745"/>
      <c r="K15" s="745"/>
      <c r="L15" s="749">
        <f>29442+5000+7700+17258</f>
        <v>59400</v>
      </c>
      <c r="M15" s="749">
        <f>54+4200+88+1760+23100+14840+2750</f>
        <v>46792</v>
      </c>
      <c r="N15" s="749">
        <f>SUM(O15:R15)</f>
        <v>46792</v>
      </c>
      <c r="O15" s="749"/>
      <c r="P15" s="745"/>
      <c r="Q15" s="745"/>
      <c r="R15" s="749">
        <f>M15</f>
        <v>46792</v>
      </c>
      <c r="S15" s="747" t="s">
        <v>1889</v>
      </c>
    </row>
    <row r="16" spans="1:19" s="746" customFormat="1" ht="100.5" customHeight="1">
      <c r="A16" s="742"/>
      <c r="B16" s="748" t="s">
        <v>277</v>
      </c>
      <c r="C16" s="514"/>
      <c r="D16" s="296"/>
      <c r="E16" s="296"/>
      <c r="F16" s="296"/>
      <c r="G16" s="296"/>
      <c r="H16" s="749"/>
      <c r="I16" s="749"/>
      <c r="J16" s="745"/>
      <c r="K16" s="745"/>
      <c r="L16" s="749"/>
      <c r="M16" s="749"/>
      <c r="N16" s="749"/>
      <c r="O16" s="749"/>
      <c r="P16" s="745"/>
      <c r="Q16" s="745"/>
      <c r="R16" s="749"/>
      <c r="S16" s="747" t="s">
        <v>1172</v>
      </c>
    </row>
    <row r="17" spans="1:19" s="746" customFormat="1" ht="95.25" customHeight="1">
      <c r="A17" s="742" t="s">
        <v>91</v>
      </c>
      <c r="B17" s="743" t="s">
        <v>1855</v>
      </c>
      <c r="C17" s="514"/>
      <c r="D17" s="296"/>
      <c r="E17" s="745">
        <f>SUM(E18:E19)</f>
        <v>2255000</v>
      </c>
      <c r="F17" s="745">
        <f t="shared" ref="F17" si="4">SUM(F18:F19)</f>
        <v>730455</v>
      </c>
      <c r="G17" s="745"/>
      <c r="H17" s="745">
        <f t="shared" ref="H17:I17" si="5">SUM(H18:H19)</f>
        <v>543735</v>
      </c>
      <c r="I17" s="745">
        <f t="shared" si="5"/>
        <v>473709</v>
      </c>
      <c r="J17" s="745"/>
      <c r="K17" s="745"/>
      <c r="L17" s="745">
        <f t="shared" ref="L17:O17" si="6">SUM(L18:L19)</f>
        <v>70026</v>
      </c>
      <c r="M17" s="745">
        <f t="shared" si="6"/>
        <v>160000</v>
      </c>
      <c r="N17" s="745">
        <f t="shared" si="6"/>
        <v>730455</v>
      </c>
      <c r="O17" s="745">
        <f t="shared" si="6"/>
        <v>730455</v>
      </c>
      <c r="P17" s="745"/>
      <c r="Q17" s="745"/>
      <c r="R17" s="745"/>
      <c r="S17" s="747"/>
    </row>
    <row r="18" spans="1:19" s="288" customFormat="1" ht="131.25" hidden="1" customHeight="1">
      <c r="A18" s="750"/>
      <c r="B18" s="751" t="s">
        <v>1878</v>
      </c>
      <c r="C18" s="738"/>
      <c r="D18" s="738"/>
      <c r="E18" s="738"/>
      <c r="F18" s="738"/>
      <c r="G18" s="738"/>
      <c r="H18" s="749"/>
      <c r="I18" s="749"/>
      <c r="J18" s="749"/>
      <c r="K18" s="749"/>
      <c r="L18" s="749"/>
      <c r="M18" s="749"/>
      <c r="N18" s="749"/>
      <c r="O18" s="749"/>
      <c r="P18" s="749"/>
      <c r="Q18" s="749"/>
      <c r="R18" s="749"/>
      <c r="S18" s="514" t="s">
        <v>1867</v>
      </c>
    </row>
    <row r="19" spans="1:19" s="288" customFormat="1" ht="107.25" customHeight="1">
      <c r="A19" s="750"/>
      <c r="B19" s="751" t="s">
        <v>1877</v>
      </c>
      <c r="C19" s="738" t="s">
        <v>88</v>
      </c>
      <c r="D19" s="738" t="s">
        <v>2152</v>
      </c>
      <c r="E19" s="749">
        <v>2255000</v>
      </c>
      <c r="F19" s="749">
        <f>O19</f>
        <v>730455</v>
      </c>
      <c r="G19" s="749"/>
      <c r="H19" s="749">
        <f>I19+L19</f>
        <v>543735</v>
      </c>
      <c r="I19" s="749">
        <f>49000+500000+70907-279110-10000+112716+50000-2-14802-5000</f>
        <v>473709</v>
      </c>
      <c r="J19" s="749"/>
      <c r="K19" s="749"/>
      <c r="L19" s="749">
        <f>200000-112716-17258</f>
        <v>70026</v>
      </c>
      <c r="M19" s="749">
        <v>160000</v>
      </c>
      <c r="N19" s="749">
        <f>O19+R19</f>
        <v>730455</v>
      </c>
      <c r="O19" s="749">
        <f>160000+570455</f>
        <v>730455</v>
      </c>
      <c r="P19" s="749"/>
      <c r="Q19" s="749"/>
      <c r="R19" s="749"/>
      <c r="S19" s="514" t="s">
        <v>2235</v>
      </c>
    </row>
    <row r="20" spans="1:19" s="746" customFormat="1" ht="96" customHeight="1">
      <c r="A20" s="742" t="s">
        <v>2291</v>
      </c>
      <c r="B20" s="743" t="s">
        <v>87</v>
      </c>
      <c r="C20" s="514"/>
      <c r="D20" s="296"/>
      <c r="E20" s="745">
        <f>SUM(F20:G20)</f>
        <v>3338</v>
      </c>
      <c r="F20" s="745">
        <f>O20</f>
        <v>1918</v>
      </c>
      <c r="G20" s="745">
        <f>R20</f>
        <v>1420</v>
      </c>
      <c r="H20" s="745">
        <v>5000</v>
      </c>
      <c r="I20" s="745">
        <v>5000</v>
      </c>
      <c r="J20" s="745"/>
      <c r="K20" s="745"/>
      <c r="L20" s="745"/>
      <c r="M20" s="745">
        <f>1918+1420</f>
        <v>3338</v>
      </c>
      <c r="N20" s="745">
        <f>SUM(O20:R20)</f>
        <v>3338</v>
      </c>
      <c r="O20" s="745">
        <v>1918</v>
      </c>
      <c r="P20" s="745"/>
      <c r="Q20" s="745"/>
      <c r="R20" s="745">
        <v>1420</v>
      </c>
      <c r="S20" s="290" t="s">
        <v>1850</v>
      </c>
    </row>
    <row r="21" spans="1:19" s="752" customFormat="1" ht="117" customHeight="1">
      <c r="A21" s="742" t="s">
        <v>92</v>
      </c>
      <c r="B21" s="743" t="s">
        <v>1852</v>
      </c>
      <c r="C21" s="514"/>
      <c r="D21" s="514"/>
      <c r="E21" s="745"/>
      <c r="F21" s="745"/>
      <c r="G21" s="745"/>
      <c r="H21" s="745"/>
      <c r="I21" s="745"/>
      <c r="J21" s="745"/>
      <c r="K21" s="745"/>
      <c r="L21" s="745"/>
      <c r="M21" s="745">
        <f>M22</f>
        <v>25860</v>
      </c>
      <c r="N21" s="745">
        <f t="shared" ref="N21:R21" si="7">N22</f>
        <v>25860</v>
      </c>
      <c r="O21" s="745"/>
      <c r="P21" s="745"/>
      <c r="Q21" s="745"/>
      <c r="R21" s="745">
        <f t="shared" si="7"/>
        <v>25860</v>
      </c>
      <c r="S21" s="290"/>
    </row>
    <row r="22" spans="1:19" s="752" customFormat="1" ht="124.5" customHeight="1">
      <c r="A22" s="742"/>
      <c r="B22" s="636" t="s">
        <v>2276</v>
      </c>
      <c r="C22" s="514"/>
      <c r="D22" s="514"/>
      <c r="E22" s="745">
        <f>SUM(E23:E40)</f>
        <v>24933</v>
      </c>
      <c r="F22" s="745"/>
      <c r="G22" s="745"/>
      <c r="H22" s="745"/>
      <c r="I22" s="745"/>
      <c r="J22" s="745"/>
      <c r="K22" s="745"/>
      <c r="L22" s="745"/>
      <c r="M22" s="745">
        <f t="shared" ref="M22:R22" si="8">SUM(M23:M40)</f>
        <v>25860</v>
      </c>
      <c r="N22" s="745">
        <f t="shared" si="8"/>
        <v>25860</v>
      </c>
      <c r="O22" s="745"/>
      <c r="P22" s="745"/>
      <c r="Q22" s="745"/>
      <c r="R22" s="745">
        <f t="shared" si="8"/>
        <v>25860</v>
      </c>
      <c r="S22" s="290" t="s">
        <v>2304</v>
      </c>
    </row>
    <row r="23" spans="1:19" s="288" customFormat="1" ht="124.5" customHeight="1">
      <c r="A23" s="750">
        <v>1</v>
      </c>
      <c r="B23" s="753" t="s">
        <v>2329</v>
      </c>
      <c r="C23" s="738"/>
      <c r="D23" s="738"/>
      <c r="E23" s="754">
        <v>1000</v>
      </c>
      <c r="F23" s="749"/>
      <c r="G23" s="749"/>
      <c r="H23" s="749"/>
      <c r="I23" s="749"/>
      <c r="J23" s="749"/>
      <c r="K23" s="749"/>
      <c r="L23" s="749"/>
      <c r="M23" s="749">
        <f t="shared" ref="M23:M35" si="9">R23</f>
        <v>1000</v>
      </c>
      <c r="N23" s="749">
        <f t="shared" ref="N23:N37" si="10">SUM(O23:R23)</f>
        <v>1000</v>
      </c>
      <c r="O23" s="749"/>
      <c r="P23" s="749"/>
      <c r="Q23" s="749"/>
      <c r="R23" s="754">
        <v>1000</v>
      </c>
      <c r="S23" s="755"/>
    </row>
    <row r="24" spans="1:19" s="288" customFormat="1" ht="124.5" customHeight="1">
      <c r="A24" s="750">
        <v>2</v>
      </c>
      <c r="B24" s="756" t="s">
        <v>2330</v>
      </c>
      <c r="C24" s="738"/>
      <c r="D24" s="738"/>
      <c r="E24" s="754">
        <v>2515</v>
      </c>
      <c r="F24" s="749"/>
      <c r="G24" s="749"/>
      <c r="H24" s="749"/>
      <c r="I24" s="749"/>
      <c r="J24" s="749"/>
      <c r="K24" s="749"/>
      <c r="L24" s="749"/>
      <c r="M24" s="749">
        <f t="shared" si="9"/>
        <v>2515</v>
      </c>
      <c r="N24" s="749">
        <f t="shared" si="10"/>
        <v>2515</v>
      </c>
      <c r="O24" s="749"/>
      <c r="P24" s="749"/>
      <c r="Q24" s="749"/>
      <c r="R24" s="754">
        <v>2515</v>
      </c>
      <c r="S24" s="755"/>
    </row>
    <row r="25" spans="1:19" s="288" customFormat="1" ht="124.5" customHeight="1">
      <c r="A25" s="750">
        <v>3</v>
      </c>
      <c r="B25" s="756" t="s">
        <v>2331</v>
      </c>
      <c r="C25" s="738"/>
      <c r="D25" s="738"/>
      <c r="E25" s="754">
        <v>1052</v>
      </c>
      <c r="F25" s="749"/>
      <c r="G25" s="749"/>
      <c r="H25" s="749"/>
      <c r="I25" s="749"/>
      <c r="J25" s="749"/>
      <c r="K25" s="749"/>
      <c r="L25" s="749"/>
      <c r="M25" s="749">
        <f t="shared" si="9"/>
        <v>1052</v>
      </c>
      <c r="N25" s="749">
        <f t="shared" si="10"/>
        <v>1052</v>
      </c>
      <c r="O25" s="749"/>
      <c r="P25" s="749"/>
      <c r="Q25" s="749"/>
      <c r="R25" s="754">
        <v>1052</v>
      </c>
      <c r="S25" s="755"/>
    </row>
    <row r="26" spans="1:19" s="288" customFormat="1" ht="124.5" customHeight="1">
      <c r="A26" s="750">
        <v>4</v>
      </c>
      <c r="B26" s="756" t="s">
        <v>2332</v>
      </c>
      <c r="C26" s="738"/>
      <c r="D26" s="738"/>
      <c r="E26" s="754">
        <v>3199</v>
      </c>
      <c r="F26" s="749"/>
      <c r="G26" s="749"/>
      <c r="H26" s="749"/>
      <c r="I26" s="749"/>
      <c r="J26" s="749"/>
      <c r="K26" s="749"/>
      <c r="L26" s="749"/>
      <c r="M26" s="749">
        <f t="shared" si="9"/>
        <v>3199</v>
      </c>
      <c r="N26" s="749">
        <f t="shared" si="10"/>
        <v>3199</v>
      </c>
      <c r="O26" s="749"/>
      <c r="P26" s="749"/>
      <c r="Q26" s="749"/>
      <c r="R26" s="754">
        <v>3199</v>
      </c>
      <c r="S26" s="755"/>
    </row>
    <row r="27" spans="1:19" s="288" customFormat="1" ht="124.5" customHeight="1">
      <c r="A27" s="750">
        <v>5</v>
      </c>
      <c r="B27" s="756" t="s">
        <v>2333</v>
      </c>
      <c r="C27" s="738"/>
      <c r="D27" s="738"/>
      <c r="E27" s="754">
        <v>1988</v>
      </c>
      <c r="F27" s="749"/>
      <c r="G27" s="749"/>
      <c r="H27" s="749"/>
      <c r="I27" s="749"/>
      <c r="J27" s="749"/>
      <c r="K27" s="749"/>
      <c r="L27" s="749"/>
      <c r="M27" s="749">
        <f t="shared" si="9"/>
        <v>1988</v>
      </c>
      <c r="N27" s="749">
        <f t="shared" si="10"/>
        <v>1988</v>
      </c>
      <c r="O27" s="749"/>
      <c r="P27" s="749"/>
      <c r="Q27" s="749"/>
      <c r="R27" s="754">
        <v>1988</v>
      </c>
      <c r="S27" s="755"/>
    </row>
    <row r="28" spans="1:19" s="288" customFormat="1" ht="124.5" customHeight="1">
      <c r="A28" s="750">
        <v>6</v>
      </c>
      <c r="B28" s="756" t="s">
        <v>2334</v>
      </c>
      <c r="C28" s="738"/>
      <c r="D28" s="738"/>
      <c r="E28" s="754">
        <v>1003</v>
      </c>
      <c r="F28" s="749"/>
      <c r="G28" s="749"/>
      <c r="H28" s="749"/>
      <c r="I28" s="749"/>
      <c r="J28" s="749"/>
      <c r="K28" s="749"/>
      <c r="L28" s="749"/>
      <c r="M28" s="749">
        <f t="shared" si="9"/>
        <v>1003</v>
      </c>
      <c r="N28" s="749">
        <f t="shared" si="10"/>
        <v>1003</v>
      </c>
      <c r="O28" s="749"/>
      <c r="P28" s="749"/>
      <c r="Q28" s="749"/>
      <c r="R28" s="754">
        <v>1003</v>
      </c>
      <c r="S28" s="755"/>
    </row>
    <row r="29" spans="1:19" s="288" customFormat="1" ht="124.5" customHeight="1">
      <c r="A29" s="750">
        <v>7</v>
      </c>
      <c r="B29" s="756" t="s">
        <v>2335</v>
      </c>
      <c r="C29" s="738"/>
      <c r="D29" s="738"/>
      <c r="E29" s="754">
        <v>1008</v>
      </c>
      <c r="F29" s="749"/>
      <c r="G29" s="749"/>
      <c r="H29" s="749"/>
      <c r="I29" s="749"/>
      <c r="J29" s="749"/>
      <c r="K29" s="749"/>
      <c r="L29" s="749"/>
      <c r="M29" s="749">
        <f t="shared" si="9"/>
        <v>1008</v>
      </c>
      <c r="N29" s="749">
        <f t="shared" si="10"/>
        <v>1008</v>
      </c>
      <c r="O29" s="749"/>
      <c r="P29" s="749"/>
      <c r="Q29" s="749"/>
      <c r="R29" s="754">
        <v>1008</v>
      </c>
      <c r="S29" s="755"/>
    </row>
    <row r="30" spans="1:19" s="288" customFormat="1" ht="124.5" customHeight="1">
      <c r="A30" s="750">
        <v>8</v>
      </c>
      <c r="B30" s="756" t="s">
        <v>2336</v>
      </c>
      <c r="C30" s="738"/>
      <c r="D30" s="738"/>
      <c r="E30" s="754">
        <v>1987</v>
      </c>
      <c r="F30" s="749"/>
      <c r="G30" s="749"/>
      <c r="H30" s="749"/>
      <c r="I30" s="749"/>
      <c r="J30" s="749"/>
      <c r="K30" s="749"/>
      <c r="L30" s="749"/>
      <c r="M30" s="749">
        <f t="shared" si="9"/>
        <v>1987</v>
      </c>
      <c r="N30" s="749">
        <f t="shared" si="10"/>
        <v>1987</v>
      </c>
      <c r="O30" s="749"/>
      <c r="P30" s="749"/>
      <c r="Q30" s="749"/>
      <c r="R30" s="754">
        <v>1987</v>
      </c>
      <c r="S30" s="755"/>
    </row>
    <row r="31" spans="1:19" s="288" customFormat="1" ht="124.5" customHeight="1">
      <c r="A31" s="750">
        <v>9</v>
      </c>
      <c r="B31" s="756" t="s">
        <v>2337</v>
      </c>
      <c r="C31" s="738"/>
      <c r="D31" s="738"/>
      <c r="E31" s="754">
        <v>1253</v>
      </c>
      <c r="F31" s="749"/>
      <c r="G31" s="749"/>
      <c r="H31" s="749"/>
      <c r="I31" s="749"/>
      <c r="J31" s="749"/>
      <c r="K31" s="749"/>
      <c r="L31" s="749"/>
      <c r="M31" s="749">
        <f t="shared" si="9"/>
        <v>1253</v>
      </c>
      <c r="N31" s="749">
        <f t="shared" si="10"/>
        <v>1253</v>
      </c>
      <c r="O31" s="749"/>
      <c r="P31" s="749"/>
      <c r="Q31" s="749"/>
      <c r="R31" s="754">
        <v>1253</v>
      </c>
      <c r="S31" s="755"/>
    </row>
    <row r="32" spans="1:19" s="288" customFormat="1" ht="124.5" customHeight="1">
      <c r="A32" s="750">
        <v>10</v>
      </c>
      <c r="B32" s="756" t="s">
        <v>2338</v>
      </c>
      <c r="C32" s="738"/>
      <c r="D32" s="738"/>
      <c r="E32" s="754">
        <v>1087</v>
      </c>
      <c r="F32" s="749"/>
      <c r="G32" s="749"/>
      <c r="H32" s="749"/>
      <c r="I32" s="749"/>
      <c r="J32" s="749"/>
      <c r="K32" s="749"/>
      <c r="L32" s="749"/>
      <c r="M32" s="749">
        <f t="shared" si="9"/>
        <v>1087</v>
      </c>
      <c r="N32" s="749">
        <f t="shared" si="10"/>
        <v>1087</v>
      </c>
      <c r="O32" s="749"/>
      <c r="P32" s="749"/>
      <c r="Q32" s="749"/>
      <c r="R32" s="754">
        <v>1087</v>
      </c>
      <c r="S32" s="755"/>
    </row>
    <row r="33" spans="1:19" s="288" customFormat="1" ht="124.5" customHeight="1">
      <c r="A33" s="750">
        <v>11</v>
      </c>
      <c r="B33" s="756" t="s">
        <v>2339</v>
      </c>
      <c r="C33" s="738"/>
      <c r="D33" s="738"/>
      <c r="E33" s="757">
        <v>3277</v>
      </c>
      <c r="F33" s="749"/>
      <c r="G33" s="749"/>
      <c r="H33" s="749"/>
      <c r="I33" s="749"/>
      <c r="J33" s="749"/>
      <c r="K33" s="749"/>
      <c r="L33" s="749"/>
      <c r="M33" s="749">
        <f t="shared" si="9"/>
        <v>3277</v>
      </c>
      <c r="N33" s="749">
        <f t="shared" si="10"/>
        <v>3277</v>
      </c>
      <c r="O33" s="749"/>
      <c r="P33" s="749"/>
      <c r="Q33" s="749"/>
      <c r="R33" s="757">
        <v>3277</v>
      </c>
      <c r="S33" s="755"/>
    </row>
    <row r="34" spans="1:19" s="288" customFormat="1" ht="124.5" customHeight="1">
      <c r="A34" s="750">
        <v>12</v>
      </c>
      <c r="B34" s="756" t="s">
        <v>2281</v>
      </c>
      <c r="C34" s="738"/>
      <c r="D34" s="738"/>
      <c r="E34" s="754">
        <v>1746</v>
      </c>
      <c r="F34" s="749"/>
      <c r="G34" s="749"/>
      <c r="H34" s="749"/>
      <c r="I34" s="749"/>
      <c r="J34" s="749"/>
      <c r="K34" s="749"/>
      <c r="L34" s="749"/>
      <c r="M34" s="749">
        <f t="shared" si="9"/>
        <v>493</v>
      </c>
      <c r="N34" s="749">
        <f t="shared" si="10"/>
        <v>493</v>
      </c>
      <c r="O34" s="749"/>
      <c r="P34" s="749"/>
      <c r="Q34" s="749"/>
      <c r="R34" s="754">
        <v>493</v>
      </c>
      <c r="S34" s="755"/>
    </row>
    <row r="35" spans="1:19" s="288" customFormat="1" ht="124.5" customHeight="1">
      <c r="A35" s="750">
        <v>13</v>
      </c>
      <c r="B35" s="756" t="s">
        <v>2340</v>
      </c>
      <c r="C35" s="738"/>
      <c r="D35" s="738"/>
      <c r="E35" s="754">
        <v>3318</v>
      </c>
      <c r="F35" s="749"/>
      <c r="G35" s="749"/>
      <c r="H35" s="749"/>
      <c r="I35" s="749"/>
      <c r="J35" s="749"/>
      <c r="K35" s="749"/>
      <c r="L35" s="749"/>
      <c r="M35" s="749">
        <f t="shared" si="9"/>
        <v>3318</v>
      </c>
      <c r="N35" s="749">
        <f t="shared" si="10"/>
        <v>3318</v>
      </c>
      <c r="O35" s="749"/>
      <c r="P35" s="749"/>
      <c r="Q35" s="749"/>
      <c r="R35" s="754">
        <v>3318</v>
      </c>
      <c r="S35" s="755"/>
    </row>
    <row r="36" spans="1:19" s="288" customFormat="1" ht="96" customHeight="1">
      <c r="A36" s="750">
        <v>14</v>
      </c>
      <c r="B36" s="648" t="s">
        <v>2277</v>
      </c>
      <c r="C36" s="375"/>
      <c r="D36" s="738"/>
      <c r="E36" s="758"/>
      <c r="F36" s="758"/>
      <c r="G36" s="758"/>
      <c r="H36" s="758"/>
      <c r="I36" s="758"/>
      <c r="J36" s="758"/>
      <c r="K36" s="758"/>
      <c r="L36" s="758"/>
      <c r="M36" s="759">
        <v>500</v>
      </c>
      <c r="N36" s="749">
        <f t="shared" si="10"/>
        <v>500</v>
      </c>
      <c r="O36" s="758"/>
      <c r="P36" s="758"/>
      <c r="Q36" s="758"/>
      <c r="R36" s="759">
        <v>500</v>
      </c>
      <c r="S36" s="374"/>
    </row>
    <row r="37" spans="1:19" s="288" customFormat="1" ht="96" customHeight="1">
      <c r="A37" s="750"/>
      <c r="B37" s="756" t="s">
        <v>2341</v>
      </c>
      <c r="C37" s="738"/>
      <c r="D37" s="738"/>
      <c r="E37" s="749">
        <v>500</v>
      </c>
      <c r="F37" s="749"/>
      <c r="G37" s="749"/>
      <c r="H37" s="749"/>
      <c r="I37" s="749"/>
      <c r="J37" s="749"/>
      <c r="K37" s="749"/>
      <c r="L37" s="749"/>
      <c r="M37" s="759">
        <v>500</v>
      </c>
      <c r="N37" s="749">
        <f t="shared" si="10"/>
        <v>500</v>
      </c>
      <c r="O37" s="749"/>
      <c r="P37" s="749"/>
      <c r="Q37" s="749"/>
      <c r="R37" s="759">
        <v>500</v>
      </c>
      <c r="S37" s="755"/>
    </row>
    <row r="38" spans="1:19" s="288" customFormat="1" ht="96" customHeight="1">
      <c r="A38" s="750">
        <v>15</v>
      </c>
      <c r="B38" s="648" t="s">
        <v>2278</v>
      </c>
      <c r="C38" s="375"/>
      <c r="D38" s="738"/>
      <c r="E38" s="758"/>
      <c r="F38" s="758"/>
      <c r="G38" s="758"/>
      <c r="H38" s="758"/>
      <c r="I38" s="758"/>
      <c r="J38" s="758"/>
      <c r="K38" s="758"/>
      <c r="L38" s="758"/>
      <c r="M38" s="759">
        <v>680</v>
      </c>
      <c r="N38" s="749">
        <f t="shared" ref="N38:N40" si="11">SUM(O38:R38)</f>
        <v>680</v>
      </c>
      <c r="O38" s="758"/>
      <c r="P38" s="758"/>
      <c r="Q38" s="758"/>
      <c r="R38" s="759">
        <v>680</v>
      </c>
      <c r="S38" s="374"/>
    </row>
    <row r="39" spans="1:19" s="288" customFormat="1" ht="96" customHeight="1">
      <c r="A39" s="750">
        <v>16</v>
      </c>
      <c r="B39" s="648" t="s">
        <v>2279</v>
      </c>
      <c r="C39" s="375"/>
      <c r="D39" s="738"/>
      <c r="E39" s="758"/>
      <c r="F39" s="758"/>
      <c r="G39" s="758"/>
      <c r="H39" s="758"/>
      <c r="I39" s="758"/>
      <c r="J39" s="758"/>
      <c r="K39" s="758"/>
      <c r="L39" s="758"/>
      <c r="M39" s="759">
        <v>500</v>
      </c>
      <c r="N39" s="749">
        <f t="shared" si="11"/>
        <v>500</v>
      </c>
      <c r="O39" s="758"/>
      <c r="P39" s="758"/>
      <c r="Q39" s="758"/>
      <c r="R39" s="759">
        <v>500</v>
      </c>
      <c r="S39" s="374"/>
    </row>
    <row r="40" spans="1:19" s="288" customFormat="1" ht="96" customHeight="1">
      <c r="A40" s="750">
        <v>17</v>
      </c>
      <c r="B40" s="648" t="s">
        <v>2280</v>
      </c>
      <c r="C40" s="375"/>
      <c r="D40" s="738"/>
      <c r="E40" s="758"/>
      <c r="F40" s="758"/>
      <c r="G40" s="758"/>
      <c r="H40" s="758"/>
      <c r="I40" s="758"/>
      <c r="J40" s="758"/>
      <c r="K40" s="758"/>
      <c r="L40" s="758"/>
      <c r="M40" s="759">
        <v>500</v>
      </c>
      <c r="N40" s="749">
        <f t="shared" si="11"/>
        <v>500</v>
      </c>
      <c r="O40" s="758"/>
      <c r="P40" s="758"/>
      <c r="Q40" s="758"/>
      <c r="R40" s="759">
        <v>500</v>
      </c>
      <c r="S40" s="374"/>
    </row>
    <row r="41" spans="1:19" s="746" customFormat="1" ht="90.75" customHeight="1">
      <c r="A41" s="742" t="s">
        <v>93</v>
      </c>
      <c r="B41" s="292" t="s">
        <v>96</v>
      </c>
      <c r="C41" s="514"/>
      <c r="D41" s="296"/>
      <c r="E41" s="745">
        <f>E42+E53+E69+E78+E111+E143+E159+E178+E233+E239+E248</f>
        <v>17978294</v>
      </c>
      <c r="F41" s="745">
        <f t="shared" ref="F41:R41" si="12">F42+F53+F69+F78+F111+F143+F159+F178+F233+F239+F248</f>
        <v>6225881</v>
      </c>
      <c r="G41" s="745">
        <f t="shared" si="12"/>
        <v>567956</v>
      </c>
      <c r="H41" s="745">
        <f t="shared" si="12"/>
        <v>6888185</v>
      </c>
      <c r="I41" s="745">
        <f t="shared" si="12"/>
        <v>6295979</v>
      </c>
      <c r="J41" s="745"/>
      <c r="K41" s="745"/>
      <c r="L41" s="745">
        <f t="shared" si="12"/>
        <v>592206</v>
      </c>
      <c r="M41" s="745">
        <f t="shared" si="12"/>
        <v>4313502</v>
      </c>
      <c r="N41" s="745">
        <f t="shared" si="12"/>
        <v>7139761</v>
      </c>
      <c r="O41" s="745">
        <f t="shared" si="12"/>
        <v>6366315</v>
      </c>
      <c r="P41" s="745"/>
      <c r="Q41" s="745"/>
      <c r="R41" s="745">
        <f t="shared" si="12"/>
        <v>773446</v>
      </c>
      <c r="S41" s="514"/>
    </row>
    <row r="42" spans="1:19" s="746" customFormat="1" ht="71.25" customHeight="1">
      <c r="A42" s="290" t="s">
        <v>95</v>
      </c>
      <c r="B42" s="743" t="s">
        <v>1869</v>
      </c>
      <c r="C42" s="744"/>
      <c r="D42" s="296"/>
      <c r="E42" s="745">
        <f t="shared" ref="E42:R42" si="13">E43+E50</f>
        <v>5373220</v>
      </c>
      <c r="F42" s="745">
        <f t="shared" si="13"/>
        <v>1733819</v>
      </c>
      <c r="G42" s="745">
        <f t="shared" si="13"/>
        <v>498975</v>
      </c>
      <c r="H42" s="745">
        <f t="shared" ref="H42:I42" si="14">H43+H50</f>
        <v>2096271</v>
      </c>
      <c r="I42" s="745">
        <f t="shared" si="14"/>
        <v>1597296</v>
      </c>
      <c r="J42" s="745"/>
      <c r="K42" s="745"/>
      <c r="L42" s="745">
        <f t="shared" ref="L42" si="15">L43+L50</f>
        <v>498975</v>
      </c>
      <c r="M42" s="745">
        <f>M43+M50</f>
        <v>1959546</v>
      </c>
      <c r="N42" s="745">
        <f t="shared" si="13"/>
        <v>2299413</v>
      </c>
      <c r="O42" s="745">
        <f t="shared" si="13"/>
        <v>1663819</v>
      </c>
      <c r="P42" s="745"/>
      <c r="Q42" s="745"/>
      <c r="R42" s="745">
        <f t="shared" si="13"/>
        <v>635594</v>
      </c>
      <c r="S42" s="514"/>
    </row>
    <row r="43" spans="1:19" s="762" customFormat="1" ht="108" customHeight="1">
      <c r="A43" s="760" t="s">
        <v>28</v>
      </c>
      <c r="B43" s="761" t="s">
        <v>97</v>
      </c>
      <c r="C43" s="290"/>
      <c r="D43" s="290"/>
      <c r="E43" s="462">
        <f>E44+E46</f>
        <v>4806220</v>
      </c>
      <c r="F43" s="462">
        <f t="shared" ref="F43:G43" si="16">F44+F46</f>
        <v>1549619</v>
      </c>
      <c r="G43" s="462">
        <f t="shared" si="16"/>
        <v>286259</v>
      </c>
      <c r="H43" s="462">
        <f t="shared" ref="H43:I43" si="17">H44+H46</f>
        <v>1703971</v>
      </c>
      <c r="I43" s="462">
        <f t="shared" si="17"/>
        <v>1417712</v>
      </c>
      <c r="J43" s="462"/>
      <c r="K43" s="462"/>
      <c r="L43" s="462">
        <f t="shared" ref="L43" si="18">L44+L46</f>
        <v>286259</v>
      </c>
      <c r="M43" s="462">
        <f>M44+M46</f>
        <v>1648337</v>
      </c>
      <c r="N43" s="462">
        <f t="shared" ref="N43:R43" si="19">N44+N46</f>
        <v>1983204</v>
      </c>
      <c r="O43" s="462">
        <f t="shared" si="19"/>
        <v>1549619</v>
      </c>
      <c r="P43" s="462"/>
      <c r="Q43" s="462"/>
      <c r="R43" s="462">
        <f t="shared" si="19"/>
        <v>433585</v>
      </c>
      <c r="S43" s="336"/>
    </row>
    <row r="44" spans="1:19" s="765" customFormat="1" ht="77.25" customHeight="1">
      <c r="A44" s="763" t="s">
        <v>279</v>
      </c>
      <c r="B44" s="764" t="s">
        <v>280</v>
      </c>
      <c r="C44" s="374"/>
      <c r="D44" s="374"/>
      <c r="E44" s="377">
        <f>SUM(E45:E45)</f>
        <v>436940</v>
      </c>
      <c r="F44" s="377"/>
      <c r="G44" s="377">
        <f>SUM(G45:G45)</f>
        <v>106792</v>
      </c>
      <c r="H44" s="377">
        <f>SUM(H45:H45)</f>
        <v>106792</v>
      </c>
      <c r="I44" s="377"/>
      <c r="J44" s="377"/>
      <c r="K44" s="377"/>
      <c r="L44" s="377">
        <f>SUM(L45:L45)</f>
        <v>106792</v>
      </c>
      <c r="M44" s="377">
        <f>SUM(M45:M45)</f>
        <v>106792</v>
      </c>
      <c r="N44" s="377">
        <f t="shared" ref="N44:R44" si="20">SUM(N45:N45)</f>
        <v>106782</v>
      </c>
      <c r="O44" s="377"/>
      <c r="P44" s="377"/>
      <c r="Q44" s="377"/>
      <c r="R44" s="377">
        <f t="shared" si="20"/>
        <v>106782</v>
      </c>
      <c r="S44" s="336"/>
    </row>
    <row r="45" spans="1:19" s="735" customFormat="1" ht="101.25" customHeight="1">
      <c r="A45" s="766" t="s">
        <v>28</v>
      </c>
      <c r="B45" s="767" t="s">
        <v>281</v>
      </c>
      <c r="C45" s="278" t="s">
        <v>88</v>
      </c>
      <c r="D45" s="278" t="s">
        <v>282</v>
      </c>
      <c r="E45" s="354">
        <v>436940</v>
      </c>
      <c r="F45" s="309"/>
      <c r="G45" s="309">
        <v>106792</v>
      </c>
      <c r="H45" s="309">
        <v>106792</v>
      </c>
      <c r="I45" s="309"/>
      <c r="J45" s="309"/>
      <c r="K45" s="309"/>
      <c r="L45" s="309">
        <v>106792</v>
      </c>
      <c r="M45" s="329">
        <v>106792</v>
      </c>
      <c r="N45" s="309">
        <f>SUM(O45:R45)</f>
        <v>106782</v>
      </c>
      <c r="O45" s="309"/>
      <c r="P45" s="309"/>
      <c r="Q45" s="309"/>
      <c r="R45" s="309">
        <v>106782</v>
      </c>
      <c r="S45" s="768" t="s">
        <v>283</v>
      </c>
    </row>
    <row r="46" spans="1:19" s="735" customFormat="1" ht="78.75" customHeight="1">
      <c r="A46" s="763" t="s">
        <v>98</v>
      </c>
      <c r="B46" s="764" t="s">
        <v>99</v>
      </c>
      <c r="C46" s="374"/>
      <c r="D46" s="755"/>
      <c r="E46" s="377">
        <f t="shared" ref="E46:G46" si="21">SUM(E47:E49)</f>
        <v>4369280</v>
      </c>
      <c r="F46" s="377">
        <f t="shared" si="21"/>
        <v>1549619</v>
      </c>
      <c r="G46" s="377">
        <f t="shared" si="21"/>
        <v>179467</v>
      </c>
      <c r="H46" s="377">
        <f>SUM(H47:H49)</f>
        <v>1597179</v>
      </c>
      <c r="I46" s="377">
        <f>SUM(I47:I49)</f>
        <v>1417712</v>
      </c>
      <c r="J46" s="377"/>
      <c r="K46" s="377"/>
      <c r="L46" s="377">
        <f>SUM(L47:L49)</f>
        <v>179467</v>
      </c>
      <c r="M46" s="377">
        <f>SUM(M47:M49)</f>
        <v>1541545</v>
      </c>
      <c r="N46" s="377">
        <f t="shared" ref="N46:R46" si="22">SUM(N47:N49)</f>
        <v>1876422</v>
      </c>
      <c r="O46" s="377">
        <f t="shared" si="22"/>
        <v>1549619</v>
      </c>
      <c r="P46" s="377"/>
      <c r="Q46" s="377"/>
      <c r="R46" s="377">
        <f t="shared" si="22"/>
        <v>326803</v>
      </c>
      <c r="S46" s="336"/>
    </row>
    <row r="47" spans="1:19" s="735" customFormat="1" ht="144.75" customHeight="1">
      <c r="A47" s="766" t="s">
        <v>28</v>
      </c>
      <c r="B47" s="769" t="s">
        <v>284</v>
      </c>
      <c r="C47" s="770" t="s">
        <v>86</v>
      </c>
      <c r="D47" s="278" t="s">
        <v>285</v>
      </c>
      <c r="E47" s="309">
        <v>3539586</v>
      </c>
      <c r="F47" s="309">
        <f>O47</f>
        <v>1413002</v>
      </c>
      <c r="G47" s="309">
        <v>139467</v>
      </c>
      <c r="H47" s="309">
        <f>I47+L47</f>
        <v>1414479</v>
      </c>
      <c r="I47" s="309">
        <f>500000-50000+345686+400000+60962+13000+35317+18000+100000+7700-60653+5000-50000-50000</f>
        <v>1275012</v>
      </c>
      <c r="J47" s="309"/>
      <c r="K47" s="309"/>
      <c r="L47" s="309">
        <f>964115-345686-400000-60962-11023-300-3000-7700+4023</f>
        <v>139467</v>
      </c>
      <c r="M47" s="329">
        <f>130934+478000+137265+265303+126676+14000+113219+116623</f>
        <v>1382020</v>
      </c>
      <c r="N47" s="309">
        <f>O47+R47</f>
        <v>1683897</v>
      </c>
      <c r="O47" s="309">
        <f>I47+116623+113730-93363+1000</f>
        <v>1413002</v>
      </c>
      <c r="P47" s="309"/>
      <c r="Q47" s="309"/>
      <c r="R47" s="309">
        <f>126676+14000+113219+17000</f>
        <v>270895</v>
      </c>
      <c r="S47" s="747" t="s">
        <v>1868</v>
      </c>
    </row>
    <row r="48" spans="1:19" s="735" customFormat="1" ht="141" customHeight="1">
      <c r="A48" s="766" t="s">
        <v>30</v>
      </c>
      <c r="B48" s="769" t="s">
        <v>102</v>
      </c>
      <c r="C48" s="278" t="s">
        <v>88</v>
      </c>
      <c r="D48" s="278" t="s">
        <v>286</v>
      </c>
      <c r="E48" s="309">
        <v>666694</v>
      </c>
      <c r="F48" s="309">
        <f>O48</f>
        <v>71617</v>
      </c>
      <c r="G48" s="309">
        <v>40000</v>
      </c>
      <c r="H48" s="309">
        <f>I48+L48</f>
        <v>117700</v>
      </c>
      <c r="I48" s="309">
        <f>20000+50000+7700</f>
        <v>77700</v>
      </c>
      <c r="J48" s="309"/>
      <c r="K48" s="309"/>
      <c r="L48" s="309">
        <f>90000-50000</f>
        <v>40000</v>
      </c>
      <c r="M48" s="329">
        <f>N48</f>
        <v>127525</v>
      </c>
      <c r="N48" s="309">
        <f>O48+R48</f>
        <v>127525</v>
      </c>
      <c r="O48" s="309">
        <f>48917+13000+2000+7700</f>
        <v>71617</v>
      </c>
      <c r="P48" s="309"/>
      <c r="Q48" s="309"/>
      <c r="R48" s="309">
        <f>27469+18439+10000</f>
        <v>55908</v>
      </c>
      <c r="S48" s="747" t="s">
        <v>1879</v>
      </c>
    </row>
    <row r="49" spans="1:19" s="735" customFormat="1" ht="141" customHeight="1">
      <c r="A49" s="766" t="s">
        <v>32</v>
      </c>
      <c r="B49" s="769" t="s">
        <v>104</v>
      </c>
      <c r="C49" s="278" t="s">
        <v>88</v>
      </c>
      <c r="D49" s="278" t="s">
        <v>287</v>
      </c>
      <c r="E49" s="309">
        <v>163000</v>
      </c>
      <c r="F49" s="309">
        <v>65000</v>
      </c>
      <c r="G49" s="309"/>
      <c r="H49" s="309">
        <f>I49+L49</f>
        <v>65000</v>
      </c>
      <c r="I49" s="309">
        <f>50000+15000</f>
        <v>65000</v>
      </c>
      <c r="J49" s="309"/>
      <c r="K49" s="309"/>
      <c r="L49" s="309"/>
      <c r="M49" s="329">
        <f>2000+10000+20000</f>
        <v>32000</v>
      </c>
      <c r="N49" s="309">
        <f>SUM(O49:R49)</f>
        <v>65000</v>
      </c>
      <c r="O49" s="309">
        <f>45000+20000</f>
        <v>65000</v>
      </c>
      <c r="P49" s="309"/>
      <c r="Q49" s="309"/>
      <c r="R49" s="309">
        <f>20000-20000</f>
        <v>0</v>
      </c>
      <c r="S49" s="747" t="s">
        <v>2293</v>
      </c>
    </row>
    <row r="50" spans="1:19" s="762" customFormat="1" ht="91.5" customHeight="1">
      <c r="A50" s="760" t="s">
        <v>30</v>
      </c>
      <c r="B50" s="761" t="s">
        <v>106</v>
      </c>
      <c r="C50" s="290"/>
      <c r="D50" s="290"/>
      <c r="E50" s="462">
        <f>SUM(E51:E52)</f>
        <v>567000</v>
      </c>
      <c r="F50" s="462">
        <f t="shared" ref="F50:R50" si="23">SUM(F51:F52)</f>
        <v>184200</v>
      </c>
      <c r="G50" s="462">
        <f t="shared" si="23"/>
        <v>212716</v>
      </c>
      <c r="H50" s="462">
        <f t="shared" si="23"/>
        <v>392300</v>
      </c>
      <c r="I50" s="462">
        <f t="shared" si="23"/>
        <v>179584</v>
      </c>
      <c r="J50" s="462"/>
      <c r="K50" s="462"/>
      <c r="L50" s="462">
        <f t="shared" si="23"/>
        <v>212716</v>
      </c>
      <c r="M50" s="462">
        <f t="shared" si="23"/>
        <v>311209</v>
      </c>
      <c r="N50" s="462">
        <f t="shared" si="23"/>
        <v>316209</v>
      </c>
      <c r="O50" s="462">
        <f t="shared" si="23"/>
        <v>114200</v>
      </c>
      <c r="P50" s="462"/>
      <c r="Q50" s="462"/>
      <c r="R50" s="462">
        <f t="shared" si="23"/>
        <v>202009</v>
      </c>
      <c r="S50" s="747"/>
    </row>
    <row r="51" spans="1:19" s="735" customFormat="1" ht="99.75" customHeight="1">
      <c r="A51" s="766" t="s">
        <v>28</v>
      </c>
      <c r="B51" s="769" t="s">
        <v>107</v>
      </c>
      <c r="C51" s="771" t="s">
        <v>88</v>
      </c>
      <c r="D51" s="768" t="s">
        <v>108</v>
      </c>
      <c r="E51" s="309">
        <v>492000</v>
      </c>
      <c r="F51" s="309">
        <f>O51</f>
        <v>109200</v>
      </c>
      <c r="G51" s="309">
        <v>212716</v>
      </c>
      <c r="H51" s="309">
        <f>I51+L51</f>
        <v>392300</v>
      </c>
      <c r="I51" s="309">
        <f>100000+200000-7700-112716</f>
        <v>179584</v>
      </c>
      <c r="J51" s="309"/>
      <c r="K51" s="309"/>
      <c r="L51" s="309">
        <f>300000-200000+112716</f>
        <v>212716</v>
      </c>
      <c r="M51" s="329">
        <f>N51</f>
        <v>311209</v>
      </c>
      <c r="N51" s="309">
        <f>O51+R51</f>
        <v>311209</v>
      </c>
      <c r="O51" s="309">
        <v>109200</v>
      </c>
      <c r="P51" s="309"/>
      <c r="Q51" s="309"/>
      <c r="R51" s="309">
        <f>152316+49693</f>
        <v>202009</v>
      </c>
      <c r="S51" s="747"/>
    </row>
    <row r="52" spans="1:19" s="735" customFormat="1" ht="99.75" customHeight="1">
      <c r="A52" s="766" t="s">
        <v>30</v>
      </c>
      <c r="B52" s="772" t="s">
        <v>2299</v>
      </c>
      <c r="C52" s="771"/>
      <c r="D52" s="768"/>
      <c r="E52" s="767">
        <v>75000</v>
      </c>
      <c r="F52" s="767">
        <v>75000</v>
      </c>
      <c r="G52" s="309"/>
      <c r="H52" s="309"/>
      <c r="I52" s="309"/>
      <c r="J52" s="309"/>
      <c r="K52" s="309"/>
      <c r="L52" s="309"/>
      <c r="M52" s="329"/>
      <c r="N52" s="309">
        <f>O52+R52</f>
        <v>5000</v>
      </c>
      <c r="O52" s="329">
        <v>5000</v>
      </c>
      <c r="P52" s="309"/>
      <c r="Q52" s="309"/>
      <c r="R52" s="309"/>
      <c r="S52" s="770" t="s">
        <v>2305</v>
      </c>
    </row>
    <row r="53" spans="1:19" s="746" customFormat="1" ht="69" customHeight="1">
      <c r="A53" s="290" t="s">
        <v>109</v>
      </c>
      <c r="B53" s="743" t="s">
        <v>288</v>
      </c>
      <c r="C53" s="744"/>
      <c r="D53" s="296"/>
      <c r="E53" s="745">
        <f>E54+E65</f>
        <v>1640469</v>
      </c>
      <c r="F53" s="745">
        <f t="shared" ref="F53:G53" si="24">F54+F65</f>
        <v>214340</v>
      </c>
      <c r="G53" s="745">
        <f t="shared" si="24"/>
        <v>14252</v>
      </c>
      <c r="H53" s="745">
        <f>H54+H65</f>
        <v>254577</v>
      </c>
      <c r="I53" s="745">
        <f>I54+I65</f>
        <v>220030</v>
      </c>
      <c r="J53" s="745"/>
      <c r="K53" s="745"/>
      <c r="L53" s="745">
        <f>L54+L65</f>
        <v>34547</v>
      </c>
      <c r="M53" s="745">
        <f t="shared" ref="M53:R53" si="25">M54+M65</f>
        <v>181592</v>
      </c>
      <c r="N53" s="745">
        <f t="shared" si="25"/>
        <v>228592</v>
      </c>
      <c r="O53" s="745">
        <f t="shared" si="25"/>
        <v>214340</v>
      </c>
      <c r="P53" s="745"/>
      <c r="Q53" s="745"/>
      <c r="R53" s="745">
        <f t="shared" si="25"/>
        <v>14252</v>
      </c>
      <c r="S53" s="514"/>
    </row>
    <row r="54" spans="1:19" s="762" customFormat="1" ht="102" customHeight="1">
      <c r="A54" s="760" t="s">
        <v>28</v>
      </c>
      <c r="B54" s="761" t="s">
        <v>97</v>
      </c>
      <c r="C54" s="290"/>
      <c r="D54" s="290"/>
      <c r="E54" s="462">
        <f>E55+E57</f>
        <v>1005369</v>
      </c>
      <c r="F54" s="462">
        <f t="shared" ref="F54:G54" si="26">F55+F57</f>
        <v>139740</v>
      </c>
      <c r="G54" s="462">
        <f t="shared" si="26"/>
        <v>7252</v>
      </c>
      <c r="H54" s="462">
        <f>H55+H57</f>
        <v>172977</v>
      </c>
      <c r="I54" s="462">
        <f>I55+I57</f>
        <v>165430</v>
      </c>
      <c r="J54" s="462"/>
      <c r="K54" s="462"/>
      <c r="L54" s="462">
        <f>L55+L57</f>
        <v>7547</v>
      </c>
      <c r="M54" s="462">
        <f t="shared" ref="M54:R54" si="27">M55+M57</f>
        <v>139992</v>
      </c>
      <c r="N54" s="462">
        <f t="shared" si="27"/>
        <v>146992</v>
      </c>
      <c r="O54" s="462">
        <f t="shared" si="27"/>
        <v>139740</v>
      </c>
      <c r="P54" s="462"/>
      <c r="Q54" s="462"/>
      <c r="R54" s="462">
        <f t="shared" si="27"/>
        <v>7252</v>
      </c>
      <c r="S54" s="336"/>
    </row>
    <row r="55" spans="1:19" s="746" customFormat="1" ht="90" customHeight="1">
      <c r="A55" s="763" t="s">
        <v>279</v>
      </c>
      <c r="B55" s="764" t="s">
        <v>280</v>
      </c>
      <c r="C55" s="374"/>
      <c r="D55" s="296"/>
      <c r="E55" s="758">
        <f>SUM(E56:E56)</f>
        <v>275000</v>
      </c>
      <c r="F55" s="758">
        <f t="shared" ref="F55" si="28">SUM(F56:F56)</f>
        <v>30200</v>
      </c>
      <c r="G55" s="758"/>
      <c r="H55" s="758">
        <f>SUM(H56:H56)</f>
        <v>30200</v>
      </c>
      <c r="I55" s="758">
        <f>SUM(I56:I56)</f>
        <v>30200</v>
      </c>
      <c r="J55" s="758"/>
      <c r="K55" s="758"/>
      <c r="L55" s="758"/>
      <c r="M55" s="758">
        <f t="shared" ref="M55:O55" si="29">SUM(M56:M56)</f>
        <v>30200</v>
      </c>
      <c r="N55" s="758">
        <f t="shared" si="29"/>
        <v>30200</v>
      </c>
      <c r="O55" s="758">
        <f t="shared" si="29"/>
        <v>30200</v>
      </c>
      <c r="P55" s="758"/>
      <c r="Q55" s="758"/>
      <c r="R55" s="758"/>
      <c r="S55" s="514"/>
    </row>
    <row r="56" spans="1:19" s="746" customFormat="1" ht="114.75" customHeight="1">
      <c r="A56" s="278">
        <v>1</v>
      </c>
      <c r="B56" s="773" t="s">
        <v>289</v>
      </c>
      <c r="C56" s="774" t="s">
        <v>88</v>
      </c>
      <c r="D56" s="360" t="s">
        <v>290</v>
      </c>
      <c r="E56" s="329">
        <v>275000</v>
      </c>
      <c r="F56" s="329">
        <f>O56</f>
        <v>30200</v>
      </c>
      <c r="G56" s="329"/>
      <c r="H56" s="329">
        <f>I56+L56</f>
        <v>30200</v>
      </c>
      <c r="I56" s="329">
        <v>30200</v>
      </c>
      <c r="J56" s="296"/>
      <c r="K56" s="296"/>
      <c r="L56" s="296"/>
      <c r="M56" s="355">
        <v>30200</v>
      </c>
      <c r="N56" s="329">
        <f>SUM(O56:R56)</f>
        <v>30200</v>
      </c>
      <c r="O56" s="329">
        <f>I56</f>
        <v>30200</v>
      </c>
      <c r="P56" s="296"/>
      <c r="Q56" s="296"/>
      <c r="R56" s="296"/>
      <c r="S56" s="514" t="s">
        <v>1853</v>
      </c>
    </row>
    <row r="57" spans="1:19" s="746" customFormat="1" ht="72" customHeight="1">
      <c r="A57" s="763" t="s">
        <v>98</v>
      </c>
      <c r="B57" s="764" t="s">
        <v>99</v>
      </c>
      <c r="C57" s="374"/>
      <c r="D57" s="296"/>
      <c r="E57" s="758">
        <f>SUM(E58:E64)</f>
        <v>730369</v>
      </c>
      <c r="F57" s="758">
        <f t="shared" ref="F57:G57" si="30">SUM(F58:F64)</f>
        <v>109540</v>
      </c>
      <c r="G57" s="758">
        <f t="shared" si="30"/>
        <v>7252</v>
      </c>
      <c r="H57" s="758">
        <f>SUM(H58:H64)</f>
        <v>142777</v>
      </c>
      <c r="I57" s="758">
        <f>SUM(I58:I64)</f>
        <v>135230</v>
      </c>
      <c r="J57" s="758"/>
      <c r="K57" s="758"/>
      <c r="L57" s="758">
        <f>SUM(L58:L63)</f>
        <v>7547</v>
      </c>
      <c r="M57" s="758">
        <f t="shared" ref="M57:R57" si="31">SUM(M58:M64)</f>
        <v>109792</v>
      </c>
      <c r="N57" s="758">
        <f t="shared" si="31"/>
        <v>116792</v>
      </c>
      <c r="O57" s="758">
        <f t="shared" si="31"/>
        <v>109540</v>
      </c>
      <c r="P57" s="758"/>
      <c r="Q57" s="758"/>
      <c r="R57" s="758">
        <f t="shared" si="31"/>
        <v>7252</v>
      </c>
      <c r="S57" s="514"/>
    </row>
    <row r="58" spans="1:19" s="746" customFormat="1" ht="70.5" customHeight="1">
      <c r="A58" s="278">
        <v>1</v>
      </c>
      <c r="B58" s="773" t="s">
        <v>291</v>
      </c>
      <c r="C58" s="774" t="s">
        <v>89</v>
      </c>
      <c r="D58" s="360" t="s">
        <v>292</v>
      </c>
      <c r="E58" s="329">
        <v>41700</v>
      </c>
      <c r="F58" s="329">
        <f>O58</f>
        <v>27900</v>
      </c>
      <c r="G58" s="329"/>
      <c r="H58" s="355">
        <f t="shared" ref="H58:H63" si="32">I58+L58</f>
        <v>13100</v>
      </c>
      <c r="I58" s="355">
        <f>17200-4100</f>
        <v>13100</v>
      </c>
      <c r="J58" s="296"/>
      <c r="K58" s="296"/>
      <c r="L58" s="296"/>
      <c r="M58" s="355">
        <f>100+1200+26600</f>
        <v>27900</v>
      </c>
      <c r="N58" s="355">
        <f>SUM(O58:R58)</f>
        <v>27900</v>
      </c>
      <c r="O58" s="355">
        <f>M58</f>
        <v>27900</v>
      </c>
      <c r="P58" s="296"/>
      <c r="Q58" s="296"/>
      <c r="R58" s="296"/>
      <c r="S58" s="514" t="s">
        <v>1853</v>
      </c>
    </row>
    <row r="59" spans="1:19" s="746" customFormat="1" ht="75.75" customHeight="1">
      <c r="A59" s="278">
        <v>2</v>
      </c>
      <c r="B59" s="773" t="s">
        <v>293</v>
      </c>
      <c r="C59" s="774" t="s">
        <v>89</v>
      </c>
      <c r="D59" s="297" t="s">
        <v>294</v>
      </c>
      <c r="E59" s="355">
        <v>20000</v>
      </c>
      <c r="F59" s="329">
        <f>O59</f>
        <v>13650</v>
      </c>
      <c r="G59" s="329"/>
      <c r="H59" s="355">
        <f t="shared" si="32"/>
        <v>13630</v>
      </c>
      <c r="I59" s="355">
        <v>13630</v>
      </c>
      <c r="J59" s="296"/>
      <c r="K59" s="296"/>
      <c r="L59" s="296"/>
      <c r="M59" s="355">
        <v>13650</v>
      </c>
      <c r="N59" s="355">
        <f t="shared" ref="N59:N60" si="33">SUM(O59:R59)</f>
        <v>13650</v>
      </c>
      <c r="O59" s="355">
        <f>M59</f>
        <v>13650</v>
      </c>
      <c r="P59" s="296"/>
      <c r="Q59" s="296"/>
      <c r="R59" s="296"/>
      <c r="S59" s="514" t="s">
        <v>1853</v>
      </c>
    </row>
    <row r="60" spans="1:19" s="746" customFormat="1" ht="81" customHeight="1">
      <c r="A60" s="278">
        <v>3</v>
      </c>
      <c r="B60" s="773" t="s">
        <v>295</v>
      </c>
      <c r="C60" s="774" t="s">
        <v>89</v>
      </c>
      <c r="D60" s="297" t="s">
        <v>296</v>
      </c>
      <c r="E60" s="355">
        <v>25000</v>
      </c>
      <c r="F60" s="329">
        <f>O60</f>
        <v>18193</v>
      </c>
      <c r="G60" s="329"/>
      <c r="H60" s="355">
        <f t="shared" si="32"/>
        <v>19700</v>
      </c>
      <c r="I60" s="355">
        <v>19700</v>
      </c>
      <c r="J60" s="296"/>
      <c r="K60" s="296"/>
      <c r="L60" s="296"/>
      <c r="M60" s="355">
        <f>638+10000+7555</f>
        <v>18193</v>
      </c>
      <c r="N60" s="355">
        <f t="shared" si="33"/>
        <v>18193</v>
      </c>
      <c r="O60" s="355">
        <f>M60</f>
        <v>18193</v>
      </c>
      <c r="P60" s="296"/>
      <c r="Q60" s="296"/>
      <c r="R60" s="296"/>
      <c r="S60" s="514" t="s">
        <v>1853</v>
      </c>
    </row>
    <row r="61" spans="1:19" s="746" customFormat="1" ht="91.5" customHeight="1">
      <c r="A61" s="278">
        <v>4</v>
      </c>
      <c r="B61" s="773" t="s">
        <v>297</v>
      </c>
      <c r="C61" s="774" t="s">
        <v>89</v>
      </c>
      <c r="D61" s="297" t="s">
        <v>298</v>
      </c>
      <c r="E61" s="355">
        <f>F61</f>
        <v>34697</v>
      </c>
      <c r="F61" s="329">
        <f>O61</f>
        <v>34697</v>
      </c>
      <c r="G61" s="329"/>
      <c r="H61" s="355">
        <f t="shared" si="32"/>
        <v>31800</v>
      </c>
      <c r="I61" s="355">
        <v>31800</v>
      </c>
      <c r="J61" s="296"/>
      <c r="K61" s="296"/>
      <c r="L61" s="296"/>
      <c r="M61" s="355">
        <f>8498+23300+2899</f>
        <v>34697</v>
      </c>
      <c r="N61" s="355">
        <f>SUM(O61:R61)</f>
        <v>34697</v>
      </c>
      <c r="O61" s="355">
        <f>M61</f>
        <v>34697</v>
      </c>
      <c r="P61" s="296"/>
      <c r="Q61" s="296"/>
      <c r="R61" s="296"/>
      <c r="S61" s="514" t="s">
        <v>1853</v>
      </c>
    </row>
    <row r="62" spans="1:19" s="746" customFormat="1" ht="152.25" customHeight="1">
      <c r="A62" s="278">
        <v>5</v>
      </c>
      <c r="B62" s="315" t="s">
        <v>299</v>
      </c>
      <c r="C62" s="771" t="s">
        <v>88</v>
      </c>
      <c r="D62" s="766" t="s">
        <v>300</v>
      </c>
      <c r="E62" s="355">
        <v>215401</v>
      </c>
      <c r="F62" s="775"/>
      <c r="G62" s="775">
        <f>R62</f>
        <v>6605</v>
      </c>
      <c r="H62" s="355">
        <f t="shared" si="32"/>
        <v>6900</v>
      </c>
      <c r="I62" s="355"/>
      <c r="J62" s="296"/>
      <c r="K62" s="296"/>
      <c r="L62" s="355">
        <f>6900+11023-11023</f>
        <v>6900</v>
      </c>
      <c r="M62" s="355">
        <v>6605</v>
      </c>
      <c r="N62" s="355">
        <f>SUM(O62:R62)</f>
        <v>6605</v>
      </c>
      <c r="O62" s="355"/>
      <c r="P62" s="296"/>
      <c r="Q62" s="296"/>
      <c r="R62" s="355">
        <f>M62</f>
        <v>6605</v>
      </c>
      <c r="S62" s="514" t="s">
        <v>1853</v>
      </c>
    </row>
    <row r="63" spans="1:19" s="746" customFormat="1" ht="100.5" customHeight="1">
      <c r="A63" s="278">
        <v>6</v>
      </c>
      <c r="B63" s="319" t="s">
        <v>301</v>
      </c>
      <c r="C63" s="771" t="s">
        <v>88</v>
      </c>
      <c r="D63" s="296" t="s">
        <v>302</v>
      </c>
      <c r="E63" s="355">
        <v>83120</v>
      </c>
      <c r="F63" s="775"/>
      <c r="G63" s="775">
        <f>R63</f>
        <v>647</v>
      </c>
      <c r="H63" s="355">
        <f t="shared" si="32"/>
        <v>647</v>
      </c>
      <c r="I63" s="355"/>
      <c r="J63" s="296"/>
      <c r="K63" s="296"/>
      <c r="L63" s="355">
        <v>647</v>
      </c>
      <c r="M63" s="355">
        <v>647</v>
      </c>
      <c r="N63" s="355">
        <f>SUM(O63:R63)</f>
        <v>647</v>
      </c>
      <c r="O63" s="355"/>
      <c r="P63" s="296"/>
      <c r="Q63" s="296"/>
      <c r="R63" s="355">
        <f>L63</f>
        <v>647</v>
      </c>
      <c r="S63" s="514" t="s">
        <v>1853</v>
      </c>
    </row>
    <row r="64" spans="1:19" s="746" customFormat="1" ht="100.5" customHeight="1">
      <c r="A64" s="278">
        <v>7</v>
      </c>
      <c r="B64" s="281" t="s">
        <v>120</v>
      </c>
      <c r="C64" s="771" t="s">
        <v>88</v>
      </c>
      <c r="D64" s="766" t="s">
        <v>121</v>
      </c>
      <c r="E64" s="775">
        <v>310451</v>
      </c>
      <c r="F64" s="775">
        <f>O64</f>
        <v>15100</v>
      </c>
      <c r="G64" s="775"/>
      <c r="H64" s="355">
        <f>I64</f>
        <v>57000</v>
      </c>
      <c r="I64" s="355">
        <f>30000+27000</f>
        <v>57000</v>
      </c>
      <c r="J64" s="296"/>
      <c r="K64" s="296"/>
      <c r="L64" s="355"/>
      <c r="M64" s="355">
        <f>8100</f>
        <v>8100</v>
      </c>
      <c r="N64" s="355">
        <f>SUM(O64:R64)</f>
        <v>15100</v>
      </c>
      <c r="O64" s="355">
        <f>8100+7000</f>
        <v>15100</v>
      </c>
      <c r="P64" s="296"/>
      <c r="Q64" s="296"/>
      <c r="R64" s="355"/>
      <c r="S64" s="776" t="s">
        <v>1859</v>
      </c>
    </row>
    <row r="65" spans="1:19" s="762" customFormat="1" ht="100.5" customHeight="1">
      <c r="A65" s="760" t="s">
        <v>30</v>
      </c>
      <c r="B65" s="761" t="s">
        <v>106</v>
      </c>
      <c r="C65" s="290"/>
      <c r="D65" s="290"/>
      <c r="E65" s="462">
        <f>E66+E67+E68</f>
        <v>635100</v>
      </c>
      <c r="F65" s="462">
        <f t="shared" ref="F65:I65" si="34">F66+F67+F68</f>
        <v>74600</v>
      </c>
      <c r="G65" s="462">
        <f t="shared" si="34"/>
        <v>7000</v>
      </c>
      <c r="H65" s="462">
        <f t="shared" si="34"/>
        <v>81600</v>
      </c>
      <c r="I65" s="462">
        <f t="shared" si="34"/>
        <v>54600</v>
      </c>
      <c r="J65" s="462"/>
      <c r="K65" s="462"/>
      <c r="L65" s="462">
        <f>L66+L67+L68</f>
        <v>27000</v>
      </c>
      <c r="M65" s="462">
        <f t="shared" ref="M65:R65" si="35">M66+M67+M68</f>
        <v>41600</v>
      </c>
      <c r="N65" s="462">
        <f t="shared" si="35"/>
        <v>81600</v>
      </c>
      <c r="O65" s="462">
        <f t="shared" si="35"/>
        <v>74600</v>
      </c>
      <c r="P65" s="462"/>
      <c r="Q65" s="462"/>
      <c r="R65" s="462">
        <f t="shared" si="35"/>
        <v>7000</v>
      </c>
      <c r="S65" s="336"/>
    </row>
    <row r="66" spans="1:19" s="765" customFormat="1" ht="102" hidden="1" customHeight="1">
      <c r="A66" s="766" t="s">
        <v>28</v>
      </c>
      <c r="B66" s="777" t="s">
        <v>303</v>
      </c>
      <c r="C66" s="771" t="s">
        <v>89</v>
      </c>
      <c r="D66" s="766" t="s">
        <v>304</v>
      </c>
      <c r="E66" s="775">
        <v>9500</v>
      </c>
      <c r="F66" s="329"/>
      <c r="G66" s="329"/>
      <c r="H66" s="377"/>
      <c r="I66" s="377"/>
      <c r="J66" s="377"/>
      <c r="K66" s="377"/>
      <c r="L66" s="377"/>
      <c r="M66" s="377"/>
      <c r="N66" s="377"/>
      <c r="O66" s="377"/>
      <c r="P66" s="377"/>
      <c r="Q66" s="377"/>
      <c r="R66" s="377"/>
      <c r="S66" s="336" t="s">
        <v>1882</v>
      </c>
    </row>
    <row r="67" spans="1:19" s="746" customFormat="1" ht="87" customHeight="1">
      <c r="A67" s="278">
        <v>1</v>
      </c>
      <c r="B67" s="773" t="s">
        <v>963</v>
      </c>
      <c r="C67" s="771" t="s">
        <v>89</v>
      </c>
      <c r="D67" s="766" t="s">
        <v>305</v>
      </c>
      <c r="E67" s="775">
        <f>F67</f>
        <v>4600</v>
      </c>
      <c r="F67" s="775">
        <v>4600</v>
      </c>
      <c r="G67" s="775"/>
      <c r="H67" s="775">
        <f>I67+L67</f>
        <v>4600</v>
      </c>
      <c r="I67" s="775">
        <v>4600</v>
      </c>
      <c r="J67" s="296"/>
      <c r="K67" s="296"/>
      <c r="L67" s="296"/>
      <c r="M67" s="355">
        <f>2000+2600</f>
        <v>4600</v>
      </c>
      <c r="N67" s="775">
        <f>SUM(O67:R67)</f>
        <v>4600</v>
      </c>
      <c r="O67" s="775">
        <f>I67</f>
        <v>4600</v>
      </c>
      <c r="P67" s="296"/>
      <c r="Q67" s="296"/>
      <c r="R67" s="296"/>
      <c r="S67" s="776" t="s">
        <v>1890</v>
      </c>
    </row>
    <row r="68" spans="1:19" s="746" customFormat="1" ht="158.25" customHeight="1">
      <c r="A68" s="278">
        <v>2</v>
      </c>
      <c r="B68" s="773" t="s">
        <v>278</v>
      </c>
      <c r="C68" s="771" t="s">
        <v>88</v>
      </c>
      <c r="D68" s="778" t="s">
        <v>1177</v>
      </c>
      <c r="E68" s="545">
        <v>621000</v>
      </c>
      <c r="F68" s="545">
        <f>O68</f>
        <v>70000</v>
      </c>
      <c r="G68" s="545">
        <f>R68</f>
        <v>7000</v>
      </c>
      <c r="H68" s="775">
        <f>I68+L68</f>
        <v>77000</v>
      </c>
      <c r="I68" s="775">
        <v>50000</v>
      </c>
      <c r="J68" s="296"/>
      <c r="K68" s="296"/>
      <c r="L68" s="355">
        <v>27000</v>
      </c>
      <c r="M68" s="355">
        <f>7000+30000</f>
        <v>37000</v>
      </c>
      <c r="N68" s="775">
        <f>SUM(O68:R68)</f>
        <v>77000</v>
      </c>
      <c r="O68" s="775">
        <f>I68+20000</f>
        <v>70000</v>
      </c>
      <c r="P68" s="296"/>
      <c r="Q68" s="296"/>
      <c r="R68" s="355">
        <f>7000</f>
        <v>7000</v>
      </c>
      <c r="S68" s="776" t="s">
        <v>1859</v>
      </c>
    </row>
    <row r="69" spans="1:19" s="746" customFormat="1" ht="57.75" customHeight="1">
      <c r="A69" s="742">
        <v>3</v>
      </c>
      <c r="B69" s="743" t="s">
        <v>126</v>
      </c>
      <c r="C69" s="744"/>
      <c r="D69" s="296"/>
      <c r="E69" s="745">
        <f>E70+E73</f>
        <v>1591906</v>
      </c>
      <c r="F69" s="745">
        <f t="shared" ref="F69:I69" si="36">F70+F73</f>
        <v>278338</v>
      </c>
      <c r="G69" s="745">
        <f t="shared" si="36"/>
        <v>26637</v>
      </c>
      <c r="H69" s="745">
        <f t="shared" si="36"/>
        <v>307853</v>
      </c>
      <c r="I69" s="745">
        <f t="shared" si="36"/>
        <v>278991</v>
      </c>
      <c r="J69" s="745"/>
      <c r="K69" s="745"/>
      <c r="L69" s="745">
        <f t="shared" ref="L69" si="37">L70+L73</f>
        <v>28862</v>
      </c>
      <c r="M69" s="745">
        <f t="shared" ref="M69:R69" si="38">M70+M73</f>
        <v>304975</v>
      </c>
      <c r="N69" s="745">
        <f t="shared" si="38"/>
        <v>371725</v>
      </c>
      <c r="O69" s="745">
        <f t="shared" si="38"/>
        <v>313838</v>
      </c>
      <c r="P69" s="745"/>
      <c r="Q69" s="745"/>
      <c r="R69" s="745">
        <f t="shared" si="38"/>
        <v>57887</v>
      </c>
      <c r="S69" s="514"/>
    </row>
    <row r="70" spans="1:19" s="746" customFormat="1" ht="105.75" customHeight="1">
      <c r="A70" s="760" t="s">
        <v>28</v>
      </c>
      <c r="B70" s="761" t="s">
        <v>97</v>
      </c>
      <c r="C70" s="290"/>
      <c r="D70" s="296"/>
      <c r="E70" s="745">
        <f>E71</f>
        <v>1481675</v>
      </c>
      <c r="F70" s="745">
        <f>F71</f>
        <v>278338</v>
      </c>
      <c r="G70" s="745"/>
      <c r="H70" s="745">
        <f t="shared" ref="H70:O70" si="39">H71</f>
        <v>278991</v>
      </c>
      <c r="I70" s="745">
        <f t="shared" si="39"/>
        <v>278991</v>
      </c>
      <c r="J70" s="745"/>
      <c r="K70" s="745"/>
      <c r="L70" s="745"/>
      <c r="M70" s="745">
        <f t="shared" si="39"/>
        <v>278338</v>
      </c>
      <c r="N70" s="745">
        <f t="shared" si="39"/>
        <v>278338</v>
      </c>
      <c r="O70" s="745">
        <f t="shared" si="39"/>
        <v>278338</v>
      </c>
      <c r="P70" s="745"/>
      <c r="Q70" s="745"/>
      <c r="R70" s="745"/>
      <c r="S70" s="514"/>
    </row>
    <row r="71" spans="1:19" s="779" customFormat="1" ht="77.25" customHeight="1">
      <c r="A71" s="763" t="s">
        <v>98</v>
      </c>
      <c r="B71" s="764" t="s">
        <v>99</v>
      </c>
      <c r="C71" s="374"/>
      <c r="D71" s="375"/>
      <c r="E71" s="758">
        <f>SUM(E72)</f>
        <v>1481675</v>
      </c>
      <c r="F71" s="758">
        <f>SUM(F72)</f>
        <v>278338</v>
      </c>
      <c r="G71" s="758"/>
      <c r="H71" s="758">
        <f t="shared" ref="H71:O71" si="40">SUM(H72)</f>
        <v>278991</v>
      </c>
      <c r="I71" s="758">
        <f t="shared" si="40"/>
        <v>278991</v>
      </c>
      <c r="J71" s="758"/>
      <c r="K71" s="758"/>
      <c r="L71" s="758"/>
      <c r="M71" s="758">
        <f t="shared" si="40"/>
        <v>278338</v>
      </c>
      <c r="N71" s="758">
        <f t="shared" si="40"/>
        <v>278338</v>
      </c>
      <c r="O71" s="758">
        <f t="shared" si="40"/>
        <v>278338</v>
      </c>
      <c r="P71" s="758"/>
      <c r="Q71" s="758"/>
      <c r="R71" s="758"/>
      <c r="S71" s="514"/>
    </row>
    <row r="72" spans="1:19" s="746" customFormat="1" ht="99.75" customHeight="1">
      <c r="A72" s="780">
        <v>1</v>
      </c>
      <c r="B72" s="777" t="s">
        <v>127</v>
      </c>
      <c r="C72" s="771" t="s">
        <v>88</v>
      </c>
      <c r="D72" s="766" t="s">
        <v>128</v>
      </c>
      <c r="E72" s="355">
        <v>1481675</v>
      </c>
      <c r="F72" s="355">
        <f>O72</f>
        <v>278338</v>
      </c>
      <c r="G72" s="355"/>
      <c r="H72" s="309">
        <f>I72+L72</f>
        <v>278991</v>
      </c>
      <c r="I72" s="309">
        <v>278991</v>
      </c>
      <c r="J72" s="309"/>
      <c r="K72" s="309"/>
      <c r="L72" s="309"/>
      <c r="M72" s="329">
        <f>N72</f>
        <v>278338</v>
      </c>
      <c r="N72" s="309">
        <f>SUM(O72:R72)</f>
        <v>278338</v>
      </c>
      <c r="O72" s="309">
        <f>303+49681+188354+40000</f>
        <v>278338</v>
      </c>
      <c r="P72" s="309"/>
      <c r="Q72" s="309"/>
      <c r="R72" s="309"/>
      <c r="S72" s="776" t="s">
        <v>306</v>
      </c>
    </row>
    <row r="73" spans="1:19" s="746" customFormat="1" ht="99.75" customHeight="1">
      <c r="A73" s="760" t="s">
        <v>30</v>
      </c>
      <c r="B73" s="761" t="s">
        <v>106</v>
      </c>
      <c r="C73" s="771"/>
      <c r="D73" s="766"/>
      <c r="E73" s="745">
        <f t="shared" ref="E73:R73" si="41">SUM(E74:E77)</f>
        <v>110231</v>
      </c>
      <c r="F73" s="745"/>
      <c r="G73" s="745">
        <f t="shared" si="41"/>
        <v>26637</v>
      </c>
      <c r="H73" s="745">
        <f t="shared" si="41"/>
        <v>28862</v>
      </c>
      <c r="I73" s="745"/>
      <c r="J73" s="745"/>
      <c r="K73" s="745"/>
      <c r="L73" s="745">
        <f t="shared" si="41"/>
        <v>28862</v>
      </c>
      <c r="M73" s="745">
        <f t="shared" si="41"/>
        <v>26637</v>
      </c>
      <c r="N73" s="745">
        <f t="shared" si="41"/>
        <v>93387</v>
      </c>
      <c r="O73" s="745">
        <f t="shared" si="41"/>
        <v>35500</v>
      </c>
      <c r="P73" s="745"/>
      <c r="Q73" s="745"/>
      <c r="R73" s="745">
        <f t="shared" si="41"/>
        <v>57887</v>
      </c>
      <c r="S73" s="776"/>
    </row>
    <row r="74" spans="1:19" s="746" customFormat="1" ht="99.75" customHeight="1">
      <c r="A74" s="766" t="s">
        <v>28</v>
      </c>
      <c r="B74" s="781" t="s">
        <v>1153</v>
      </c>
      <c r="C74" s="771" t="s">
        <v>89</v>
      </c>
      <c r="D74" s="766" t="s">
        <v>1833</v>
      </c>
      <c r="E74" s="355">
        <v>14981</v>
      </c>
      <c r="F74" s="355"/>
      <c r="G74" s="355">
        <f>R74</f>
        <v>13637</v>
      </c>
      <c r="H74" s="355">
        <v>13862</v>
      </c>
      <c r="I74" s="355"/>
      <c r="J74" s="355"/>
      <c r="K74" s="355"/>
      <c r="L74" s="355">
        <f>11332+100+2430</f>
        <v>13862</v>
      </c>
      <c r="M74" s="355">
        <f>8332+5305</f>
        <v>13637</v>
      </c>
      <c r="N74" s="355">
        <f>SUM(O74:R74)</f>
        <v>13637</v>
      </c>
      <c r="O74" s="355"/>
      <c r="P74" s="355"/>
      <c r="Q74" s="355"/>
      <c r="R74" s="355">
        <f>8332+5305</f>
        <v>13637</v>
      </c>
      <c r="S74" s="776" t="s">
        <v>1853</v>
      </c>
    </row>
    <row r="75" spans="1:19" s="746" customFormat="1" ht="99.75" customHeight="1">
      <c r="A75" s="780">
        <v>2</v>
      </c>
      <c r="B75" s="777" t="s">
        <v>1152</v>
      </c>
      <c r="C75" s="771" t="s">
        <v>89</v>
      </c>
      <c r="D75" s="766" t="s">
        <v>1834</v>
      </c>
      <c r="E75" s="355">
        <v>15000</v>
      </c>
      <c r="F75" s="355"/>
      <c r="G75" s="355">
        <f>R75</f>
        <v>13000</v>
      </c>
      <c r="H75" s="309">
        <f t="shared" ref="H75" si="42">I75+L75</f>
        <v>15000</v>
      </c>
      <c r="I75" s="309"/>
      <c r="J75" s="309"/>
      <c r="K75" s="309"/>
      <c r="L75" s="309">
        <v>15000</v>
      </c>
      <c r="M75" s="329">
        <v>13000</v>
      </c>
      <c r="N75" s="309">
        <f>SUM(O75:R75)</f>
        <v>13000</v>
      </c>
      <c r="O75" s="309"/>
      <c r="P75" s="309"/>
      <c r="Q75" s="309"/>
      <c r="R75" s="309">
        <v>13000</v>
      </c>
      <c r="S75" s="776" t="s">
        <v>2294</v>
      </c>
    </row>
    <row r="76" spans="1:19" s="746" customFormat="1" ht="99.75" customHeight="1">
      <c r="A76" s="780">
        <v>3</v>
      </c>
      <c r="B76" s="782" t="s">
        <v>2306</v>
      </c>
      <c r="C76" s="771"/>
      <c r="D76" s="766"/>
      <c r="E76" s="783">
        <v>1250</v>
      </c>
      <c r="F76" s="355"/>
      <c r="G76" s="355"/>
      <c r="H76" s="309"/>
      <c r="I76" s="309"/>
      <c r="J76" s="309"/>
      <c r="K76" s="309"/>
      <c r="L76" s="309"/>
      <c r="M76" s="329"/>
      <c r="N76" s="309">
        <f>SUM(O76:R76)</f>
        <v>1250</v>
      </c>
      <c r="O76" s="309"/>
      <c r="P76" s="309"/>
      <c r="Q76" s="309"/>
      <c r="R76" s="783">
        <v>1250</v>
      </c>
      <c r="S76" s="776" t="s">
        <v>2305</v>
      </c>
    </row>
    <row r="77" spans="1:19" s="746" customFormat="1" ht="99.75" customHeight="1">
      <c r="A77" s="780">
        <v>4</v>
      </c>
      <c r="B77" s="784" t="s">
        <v>2213</v>
      </c>
      <c r="C77" s="771"/>
      <c r="D77" s="296" t="s">
        <v>2214</v>
      </c>
      <c r="E77" s="329">
        <v>79000</v>
      </c>
      <c r="F77" s="355"/>
      <c r="G77" s="355"/>
      <c r="H77" s="309"/>
      <c r="I77" s="309"/>
      <c r="J77" s="309"/>
      <c r="K77" s="309"/>
      <c r="L77" s="309"/>
      <c r="M77" s="329"/>
      <c r="N77" s="309">
        <f>O77+R77</f>
        <v>65500</v>
      </c>
      <c r="O77" s="309">
        <v>35500</v>
      </c>
      <c r="P77" s="309"/>
      <c r="Q77" s="309"/>
      <c r="R77" s="309">
        <v>30000</v>
      </c>
      <c r="S77" s="776" t="s">
        <v>2305</v>
      </c>
    </row>
    <row r="78" spans="1:19" s="746" customFormat="1" ht="60" customHeight="1">
      <c r="A78" s="742" t="s">
        <v>125</v>
      </c>
      <c r="B78" s="292" t="s">
        <v>307</v>
      </c>
      <c r="C78" s="514"/>
      <c r="D78" s="296"/>
      <c r="E78" s="745">
        <f>E79+E91</f>
        <v>3715982</v>
      </c>
      <c r="F78" s="745">
        <f t="shared" ref="F78:R78" si="43">F79+F91</f>
        <v>1023741</v>
      </c>
      <c r="G78" s="745">
        <f t="shared" si="43"/>
        <v>794</v>
      </c>
      <c r="H78" s="745">
        <f>H79+H91</f>
        <v>1008260</v>
      </c>
      <c r="I78" s="745">
        <f>I79+I91</f>
        <v>1007466</v>
      </c>
      <c r="J78" s="745"/>
      <c r="K78" s="745"/>
      <c r="L78" s="745">
        <f>L79+L91</f>
        <v>794</v>
      </c>
      <c r="M78" s="745">
        <f t="shared" si="43"/>
        <v>792061</v>
      </c>
      <c r="N78" s="745">
        <f t="shared" si="43"/>
        <v>1072588</v>
      </c>
      <c r="O78" s="745">
        <f t="shared" si="43"/>
        <v>1070844</v>
      </c>
      <c r="P78" s="745"/>
      <c r="Q78" s="745"/>
      <c r="R78" s="745">
        <f t="shared" si="43"/>
        <v>1744</v>
      </c>
      <c r="S78" s="514"/>
    </row>
    <row r="79" spans="1:19" s="762" customFormat="1" ht="102" customHeight="1">
      <c r="A79" s="760" t="s">
        <v>28</v>
      </c>
      <c r="B79" s="761" t="s">
        <v>97</v>
      </c>
      <c r="C79" s="290"/>
      <c r="D79" s="290"/>
      <c r="E79" s="462">
        <f>E80</f>
        <v>1047110</v>
      </c>
      <c r="F79" s="462">
        <f t="shared" ref="F79:R79" si="44">F80</f>
        <v>214101</v>
      </c>
      <c r="G79" s="462"/>
      <c r="H79" s="462">
        <f>H80</f>
        <v>214101</v>
      </c>
      <c r="I79" s="462">
        <f>I80</f>
        <v>214101</v>
      </c>
      <c r="J79" s="462"/>
      <c r="K79" s="462"/>
      <c r="L79" s="462"/>
      <c r="M79" s="462">
        <f t="shared" si="44"/>
        <v>213397</v>
      </c>
      <c r="N79" s="462">
        <f t="shared" si="44"/>
        <v>214347</v>
      </c>
      <c r="O79" s="462">
        <f t="shared" si="44"/>
        <v>213397</v>
      </c>
      <c r="P79" s="462"/>
      <c r="Q79" s="462"/>
      <c r="R79" s="462">
        <f t="shared" si="44"/>
        <v>950</v>
      </c>
      <c r="S79" s="336"/>
    </row>
    <row r="80" spans="1:19" s="746" customFormat="1" ht="90" customHeight="1">
      <c r="A80" s="763" t="s">
        <v>98</v>
      </c>
      <c r="B80" s="764" t="s">
        <v>99</v>
      </c>
      <c r="C80" s="374"/>
      <c r="D80" s="296"/>
      <c r="E80" s="758">
        <f>SUM(E81:E90)</f>
        <v>1047110</v>
      </c>
      <c r="F80" s="758">
        <f t="shared" ref="F80:R80" si="45">SUM(F81:F90)</f>
        <v>214101</v>
      </c>
      <c r="G80" s="758"/>
      <c r="H80" s="758">
        <f>SUM(H81:H90)</f>
        <v>214101</v>
      </c>
      <c r="I80" s="758">
        <f>SUM(I81:I90)</f>
        <v>214101</v>
      </c>
      <c r="J80" s="758"/>
      <c r="K80" s="758"/>
      <c r="L80" s="758"/>
      <c r="M80" s="758">
        <f t="shared" si="45"/>
        <v>213397</v>
      </c>
      <c r="N80" s="758">
        <f t="shared" si="45"/>
        <v>214347</v>
      </c>
      <c r="O80" s="758">
        <f t="shared" si="45"/>
        <v>213397</v>
      </c>
      <c r="P80" s="758"/>
      <c r="Q80" s="758"/>
      <c r="R80" s="758">
        <f t="shared" si="45"/>
        <v>950</v>
      </c>
      <c r="S80" s="514"/>
    </row>
    <row r="81" spans="1:19" s="746" customFormat="1" ht="90" customHeight="1">
      <c r="A81" s="780">
        <v>1</v>
      </c>
      <c r="B81" s="281" t="s">
        <v>308</v>
      </c>
      <c r="C81" s="297" t="s">
        <v>88</v>
      </c>
      <c r="D81" s="297" t="s">
        <v>309</v>
      </c>
      <c r="E81" s="355">
        <v>651283</v>
      </c>
      <c r="F81" s="355">
        <v>5678</v>
      </c>
      <c r="G81" s="355"/>
      <c r="H81" s="355">
        <f t="shared" ref="H81:H90" si="46">I81+L81</f>
        <v>5678</v>
      </c>
      <c r="I81" s="355">
        <v>5678</v>
      </c>
      <c r="J81" s="296"/>
      <c r="K81" s="296"/>
      <c r="L81" s="296"/>
      <c r="M81" s="355">
        <v>5678</v>
      </c>
      <c r="N81" s="355">
        <f>SUM(O81:R81)</f>
        <v>5678</v>
      </c>
      <c r="O81" s="355">
        <f>I81</f>
        <v>5678</v>
      </c>
      <c r="P81" s="296"/>
      <c r="Q81" s="296"/>
      <c r="R81" s="296"/>
      <c r="S81" s="514" t="s">
        <v>1853</v>
      </c>
    </row>
    <row r="82" spans="1:19" s="746" customFormat="1" ht="90" customHeight="1">
      <c r="A82" s="780">
        <v>2</v>
      </c>
      <c r="B82" s="781" t="s">
        <v>310</v>
      </c>
      <c r="C82" s="297" t="s">
        <v>88</v>
      </c>
      <c r="D82" s="766" t="s">
        <v>311</v>
      </c>
      <c r="E82" s="545">
        <v>53807</v>
      </c>
      <c r="F82" s="785">
        <v>22500</v>
      </c>
      <c r="G82" s="785"/>
      <c r="H82" s="355">
        <f t="shared" si="46"/>
        <v>22500</v>
      </c>
      <c r="I82" s="355">
        <v>22500</v>
      </c>
      <c r="J82" s="355"/>
      <c r="K82" s="355"/>
      <c r="L82" s="355"/>
      <c r="M82" s="355">
        <f>4309+7000+10487</f>
        <v>21796</v>
      </c>
      <c r="N82" s="355">
        <f>SUM(O82:R82)</f>
        <v>21796</v>
      </c>
      <c r="O82" s="355">
        <f>M82</f>
        <v>21796</v>
      </c>
      <c r="P82" s="355"/>
      <c r="Q82" s="355"/>
      <c r="R82" s="355"/>
      <c r="S82" s="776" t="s">
        <v>1883</v>
      </c>
    </row>
    <row r="83" spans="1:19" s="746" customFormat="1" ht="90" customHeight="1">
      <c r="A83" s="780">
        <v>3</v>
      </c>
      <c r="B83" s="786" t="s">
        <v>2327</v>
      </c>
      <c r="C83" s="297"/>
      <c r="D83" s="766"/>
      <c r="E83" s="787">
        <v>527</v>
      </c>
      <c r="F83" s="785"/>
      <c r="G83" s="787">
        <v>527</v>
      </c>
      <c r="H83" s="355"/>
      <c r="I83" s="355"/>
      <c r="J83" s="355"/>
      <c r="K83" s="355"/>
      <c r="L83" s="355"/>
      <c r="M83" s="355"/>
      <c r="N83" s="355">
        <f t="shared" ref="N83:N84" si="47">SUM(O83:R83)</f>
        <v>527</v>
      </c>
      <c r="O83" s="355"/>
      <c r="P83" s="355"/>
      <c r="Q83" s="355"/>
      <c r="R83" s="787">
        <v>527</v>
      </c>
      <c r="S83" s="776"/>
    </row>
    <row r="84" spans="1:19" s="746" customFormat="1" ht="90" customHeight="1">
      <c r="A84" s="780">
        <v>4</v>
      </c>
      <c r="B84" s="786" t="s">
        <v>2328</v>
      </c>
      <c r="C84" s="297"/>
      <c r="D84" s="766"/>
      <c r="E84" s="787">
        <v>423</v>
      </c>
      <c r="F84" s="785"/>
      <c r="G84" s="787">
        <v>423</v>
      </c>
      <c r="H84" s="355"/>
      <c r="I84" s="355"/>
      <c r="J84" s="355"/>
      <c r="K84" s="355"/>
      <c r="L84" s="355"/>
      <c r="M84" s="355"/>
      <c r="N84" s="355">
        <f t="shared" si="47"/>
        <v>423</v>
      </c>
      <c r="O84" s="355"/>
      <c r="P84" s="355"/>
      <c r="Q84" s="355"/>
      <c r="R84" s="787">
        <v>423</v>
      </c>
      <c r="S84" s="776"/>
    </row>
    <row r="85" spans="1:19" s="746" customFormat="1" ht="90" customHeight="1">
      <c r="A85" s="780">
        <v>5</v>
      </c>
      <c r="B85" s="590" t="s">
        <v>312</v>
      </c>
      <c r="C85" s="297" t="s">
        <v>88</v>
      </c>
      <c r="D85" s="766" t="s">
        <v>313</v>
      </c>
      <c r="E85" s="788">
        <v>60000</v>
      </c>
      <c r="F85" s="785">
        <v>31043</v>
      </c>
      <c r="G85" s="785"/>
      <c r="H85" s="355">
        <f t="shared" si="46"/>
        <v>31043</v>
      </c>
      <c r="I85" s="355">
        <v>31043</v>
      </c>
      <c r="J85" s="355"/>
      <c r="K85" s="355"/>
      <c r="L85" s="355"/>
      <c r="M85" s="355">
        <f>16677+14366</f>
        <v>31043</v>
      </c>
      <c r="N85" s="355">
        <f>SUM(O85:R85)</f>
        <v>31043</v>
      </c>
      <c r="O85" s="355">
        <f>I85</f>
        <v>31043</v>
      </c>
      <c r="P85" s="355"/>
      <c r="Q85" s="355"/>
      <c r="R85" s="355"/>
      <c r="S85" s="514" t="s">
        <v>1853</v>
      </c>
    </row>
    <row r="86" spans="1:19" s="746" customFormat="1" ht="90" customHeight="1">
      <c r="A86" s="780">
        <v>6</v>
      </c>
      <c r="B86" s="590" t="s">
        <v>314</v>
      </c>
      <c r="C86" s="297" t="s">
        <v>88</v>
      </c>
      <c r="D86" s="316" t="s">
        <v>315</v>
      </c>
      <c r="E86" s="788">
        <v>49200</v>
      </c>
      <c r="F86" s="788">
        <v>31000</v>
      </c>
      <c r="G86" s="788"/>
      <c r="H86" s="355">
        <f t="shared" si="46"/>
        <v>31000</v>
      </c>
      <c r="I86" s="355">
        <v>31000</v>
      </c>
      <c r="J86" s="355"/>
      <c r="K86" s="355"/>
      <c r="L86" s="355"/>
      <c r="M86" s="355">
        <f>13000+14000+4000</f>
        <v>31000</v>
      </c>
      <c r="N86" s="355">
        <f>SUM(O86:R86)</f>
        <v>31000</v>
      </c>
      <c r="O86" s="355">
        <f>I86</f>
        <v>31000</v>
      </c>
      <c r="P86" s="355"/>
      <c r="Q86" s="355"/>
      <c r="R86" s="355"/>
      <c r="S86" s="514" t="s">
        <v>1853</v>
      </c>
    </row>
    <row r="87" spans="1:19" s="746" customFormat="1" ht="99" customHeight="1">
      <c r="A87" s="780">
        <v>7</v>
      </c>
      <c r="B87" s="590" t="s">
        <v>316</v>
      </c>
      <c r="C87" s="789" t="s">
        <v>89</v>
      </c>
      <c r="D87" s="316" t="s">
        <v>317</v>
      </c>
      <c r="E87" s="788">
        <v>29729</v>
      </c>
      <c r="F87" s="788">
        <v>20313</v>
      </c>
      <c r="G87" s="788"/>
      <c r="H87" s="355">
        <f t="shared" si="46"/>
        <v>20313</v>
      </c>
      <c r="I87" s="355">
        <v>20313</v>
      </c>
      <c r="J87" s="355"/>
      <c r="K87" s="355"/>
      <c r="L87" s="355"/>
      <c r="M87" s="355">
        <f>10000+10313</f>
        <v>20313</v>
      </c>
      <c r="N87" s="355">
        <f t="shared" ref="N87:N90" si="48">SUM(O87:R87)</f>
        <v>20313</v>
      </c>
      <c r="O87" s="355">
        <f t="shared" ref="O87:O90" si="49">I87</f>
        <v>20313</v>
      </c>
      <c r="P87" s="355"/>
      <c r="Q87" s="355"/>
      <c r="R87" s="355"/>
      <c r="S87" s="514" t="s">
        <v>1853</v>
      </c>
    </row>
    <row r="88" spans="1:19" s="746" customFormat="1" ht="90" customHeight="1">
      <c r="A88" s="780">
        <v>8</v>
      </c>
      <c r="B88" s="590" t="s">
        <v>318</v>
      </c>
      <c r="C88" s="789" t="s">
        <v>89</v>
      </c>
      <c r="D88" s="316" t="s">
        <v>319</v>
      </c>
      <c r="E88" s="788">
        <v>37141</v>
      </c>
      <c r="F88" s="788">
        <v>17498</v>
      </c>
      <c r="G88" s="788"/>
      <c r="H88" s="355">
        <f t="shared" si="46"/>
        <v>17498</v>
      </c>
      <c r="I88" s="355">
        <v>17498</v>
      </c>
      <c r="J88" s="355"/>
      <c r="K88" s="355"/>
      <c r="L88" s="355"/>
      <c r="M88" s="355">
        <f>7000+10498</f>
        <v>17498</v>
      </c>
      <c r="N88" s="355">
        <f t="shared" si="48"/>
        <v>17498</v>
      </c>
      <c r="O88" s="355">
        <f t="shared" si="49"/>
        <v>17498</v>
      </c>
      <c r="P88" s="355"/>
      <c r="Q88" s="355"/>
      <c r="R88" s="355"/>
      <c r="S88" s="514" t="s">
        <v>1853</v>
      </c>
    </row>
    <row r="89" spans="1:19" s="746" customFormat="1" ht="113.25" customHeight="1">
      <c r="A89" s="780">
        <v>9</v>
      </c>
      <c r="B89" s="281" t="s">
        <v>320</v>
      </c>
      <c r="C89" s="768" t="s">
        <v>89</v>
      </c>
      <c r="D89" s="768" t="s">
        <v>321</v>
      </c>
      <c r="E89" s="790">
        <v>70000</v>
      </c>
      <c r="F89" s="790">
        <v>35000</v>
      </c>
      <c r="G89" s="790"/>
      <c r="H89" s="355">
        <f t="shared" si="46"/>
        <v>35000</v>
      </c>
      <c r="I89" s="355">
        <v>35000</v>
      </c>
      <c r="J89" s="355"/>
      <c r="K89" s="355"/>
      <c r="L89" s="355"/>
      <c r="M89" s="355">
        <f>35000</f>
        <v>35000</v>
      </c>
      <c r="N89" s="355">
        <f t="shared" si="48"/>
        <v>35000</v>
      </c>
      <c r="O89" s="355">
        <f t="shared" si="49"/>
        <v>35000</v>
      </c>
      <c r="P89" s="355"/>
      <c r="Q89" s="355"/>
      <c r="R89" s="355"/>
      <c r="S89" s="514" t="s">
        <v>1853</v>
      </c>
    </row>
    <row r="90" spans="1:19" s="746" customFormat="1" ht="99.75" customHeight="1">
      <c r="A90" s="780">
        <v>10</v>
      </c>
      <c r="B90" s="590" t="s">
        <v>322</v>
      </c>
      <c r="C90" s="768" t="s">
        <v>88</v>
      </c>
      <c r="D90" s="278" t="s">
        <v>323</v>
      </c>
      <c r="E90" s="788">
        <v>95000</v>
      </c>
      <c r="F90" s="788">
        <v>51069</v>
      </c>
      <c r="G90" s="788"/>
      <c r="H90" s="355">
        <f t="shared" si="46"/>
        <v>51069</v>
      </c>
      <c r="I90" s="355">
        <v>51069</v>
      </c>
      <c r="J90" s="355"/>
      <c r="K90" s="355"/>
      <c r="L90" s="355"/>
      <c r="M90" s="355">
        <f>39285+11784</f>
        <v>51069</v>
      </c>
      <c r="N90" s="355">
        <f t="shared" si="48"/>
        <v>51069</v>
      </c>
      <c r="O90" s="355">
        <f t="shared" si="49"/>
        <v>51069</v>
      </c>
      <c r="P90" s="355"/>
      <c r="Q90" s="355"/>
      <c r="R90" s="355"/>
      <c r="S90" s="514" t="s">
        <v>1853</v>
      </c>
    </row>
    <row r="91" spans="1:19" s="746" customFormat="1" ht="88.5" customHeight="1">
      <c r="A91" s="760" t="s">
        <v>30</v>
      </c>
      <c r="B91" s="761" t="s">
        <v>106</v>
      </c>
      <c r="C91" s="290"/>
      <c r="D91" s="296"/>
      <c r="E91" s="791">
        <f>SUM(E92:E110)</f>
        <v>2668872</v>
      </c>
      <c r="F91" s="791">
        <f t="shared" ref="F91:R91" si="50">SUM(F92:F110)</f>
        <v>809640</v>
      </c>
      <c r="G91" s="791">
        <f t="shared" si="50"/>
        <v>794</v>
      </c>
      <c r="H91" s="791">
        <f t="shared" ref="H91:L91" si="51">SUM(H92:H110)</f>
        <v>794159</v>
      </c>
      <c r="I91" s="791">
        <f t="shared" si="51"/>
        <v>793365</v>
      </c>
      <c r="J91" s="791">
        <f t="shared" si="51"/>
        <v>0</v>
      </c>
      <c r="K91" s="791">
        <f t="shared" si="51"/>
        <v>0</v>
      </c>
      <c r="L91" s="791">
        <f t="shared" si="51"/>
        <v>794</v>
      </c>
      <c r="M91" s="791">
        <f t="shared" si="50"/>
        <v>578664</v>
      </c>
      <c r="N91" s="791">
        <f t="shared" si="50"/>
        <v>858241</v>
      </c>
      <c r="O91" s="791">
        <f t="shared" si="50"/>
        <v>857447</v>
      </c>
      <c r="P91" s="791">
        <f t="shared" si="50"/>
        <v>0</v>
      </c>
      <c r="Q91" s="791">
        <f t="shared" si="50"/>
        <v>0</v>
      </c>
      <c r="R91" s="791">
        <f t="shared" si="50"/>
        <v>794</v>
      </c>
      <c r="S91" s="514"/>
    </row>
    <row r="92" spans="1:19" s="746" customFormat="1" ht="111.75" customHeight="1">
      <c r="A92" s="780">
        <v>1</v>
      </c>
      <c r="B92" s="792" t="s">
        <v>324</v>
      </c>
      <c r="C92" s="301" t="s">
        <v>89</v>
      </c>
      <c r="D92" s="768" t="s">
        <v>325</v>
      </c>
      <c r="E92" s="355">
        <v>40000</v>
      </c>
      <c r="F92" s="355">
        <v>40000</v>
      </c>
      <c r="G92" s="355"/>
      <c r="H92" s="355">
        <f t="shared" ref="H92:H101" si="52">I92+L92</f>
        <v>40000</v>
      </c>
      <c r="I92" s="355">
        <v>40000</v>
      </c>
      <c r="J92" s="296"/>
      <c r="K92" s="296"/>
      <c r="L92" s="296"/>
      <c r="M92" s="355">
        <f>4914+11673+21142</f>
        <v>37729</v>
      </c>
      <c r="N92" s="355">
        <f>SUM(O92:R92)</f>
        <v>37729</v>
      </c>
      <c r="O92" s="355">
        <f>M92</f>
        <v>37729</v>
      </c>
      <c r="P92" s="296"/>
      <c r="Q92" s="296"/>
      <c r="R92" s="296"/>
      <c r="S92" s="514" t="s">
        <v>1853</v>
      </c>
    </row>
    <row r="93" spans="1:19" s="746" customFormat="1" ht="81.75" customHeight="1">
      <c r="A93" s="780">
        <v>2</v>
      </c>
      <c r="B93" s="281" t="s">
        <v>326</v>
      </c>
      <c r="C93" s="301" t="s">
        <v>89</v>
      </c>
      <c r="D93" s="768" t="s">
        <v>327</v>
      </c>
      <c r="E93" s="355">
        <v>71887</v>
      </c>
      <c r="F93" s="355">
        <v>68000</v>
      </c>
      <c r="G93" s="355"/>
      <c r="H93" s="355">
        <f t="shared" si="52"/>
        <v>68000</v>
      </c>
      <c r="I93" s="355">
        <v>68000</v>
      </c>
      <c r="J93" s="296"/>
      <c r="K93" s="296"/>
      <c r="L93" s="296"/>
      <c r="M93" s="355">
        <f>1000+3000+44737</f>
        <v>48737</v>
      </c>
      <c r="N93" s="355">
        <f>SUM(O93:R93)</f>
        <v>48737</v>
      </c>
      <c r="O93" s="355">
        <f>M93</f>
        <v>48737</v>
      </c>
      <c r="P93" s="296"/>
      <c r="Q93" s="296"/>
      <c r="R93" s="296"/>
      <c r="S93" s="514" t="s">
        <v>1884</v>
      </c>
    </row>
    <row r="94" spans="1:19" s="746" customFormat="1" ht="69.75" customHeight="1">
      <c r="A94" s="780">
        <v>3</v>
      </c>
      <c r="B94" s="281" t="s">
        <v>328</v>
      </c>
      <c r="C94" s="301" t="s">
        <v>89</v>
      </c>
      <c r="D94" s="768" t="s">
        <v>329</v>
      </c>
      <c r="E94" s="355">
        <v>15000</v>
      </c>
      <c r="F94" s="355">
        <v>14990</v>
      </c>
      <c r="G94" s="355"/>
      <c r="H94" s="355">
        <f t="shared" si="52"/>
        <v>14990</v>
      </c>
      <c r="I94" s="355">
        <v>14990</v>
      </c>
      <c r="J94" s="296"/>
      <c r="K94" s="296"/>
      <c r="L94" s="296"/>
      <c r="M94" s="355">
        <f>3000+4000+7990</f>
        <v>14990</v>
      </c>
      <c r="N94" s="355">
        <f>SUM(O94:R94)</f>
        <v>14990</v>
      </c>
      <c r="O94" s="355">
        <f>I94</f>
        <v>14990</v>
      </c>
      <c r="P94" s="296"/>
      <c r="Q94" s="296"/>
      <c r="R94" s="296"/>
      <c r="S94" s="776" t="s">
        <v>330</v>
      </c>
    </row>
    <row r="95" spans="1:19" s="746" customFormat="1" ht="70.5" customHeight="1">
      <c r="A95" s="780">
        <v>4</v>
      </c>
      <c r="B95" s="792" t="s">
        <v>331</v>
      </c>
      <c r="C95" s="301" t="s">
        <v>89</v>
      </c>
      <c r="D95" s="768" t="s">
        <v>332</v>
      </c>
      <c r="E95" s="355">
        <v>10200</v>
      </c>
      <c r="F95" s="355">
        <v>10000</v>
      </c>
      <c r="G95" s="355"/>
      <c r="H95" s="355">
        <f t="shared" si="52"/>
        <v>10000</v>
      </c>
      <c r="I95" s="355">
        <v>10000</v>
      </c>
      <c r="J95" s="296"/>
      <c r="K95" s="296"/>
      <c r="L95" s="296"/>
      <c r="M95" s="355">
        <f>3000+4000+3000</f>
        <v>10000</v>
      </c>
      <c r="N95" s="355">
        <f t="shared" ref="N95:N98" si="53">SUM(O95:R95)</f>
        <v>10000</v>
      </c>
      <c r="O95" s="355">
        <f t="shared" ref="O95:O97" si="54">I95</f>
        <v>10000</v>
      </c>
      <c r="P95" s="296"/>
      <c r="Q95" s="296"/>
      <c r="R95" s="296"/>
      <c r="S95" s="514" t="s">
        <v>1853</v>
      </c>
    </row>
    <row r="96" spans="1:19" s="746" customFormat="1" ht="84.75" customHeight="1">
      <c r="A96" s="780">
        <v>5</v>
      </c>
      <c r="B96" s="792" t="s">
        <v>333</v>
      </c>
      <c r="C96" s="301" t="s">
        <v>89</v>
      </c>
      <c r="D96" s="768" t="s">
        <v>334</v>
      </c>
      <c r="E96" s="355">
        <v>6500</v>
      </c>
      <c r="F96" s="355">
        <v>6019</v>
      </c>
      <c r="G96" s="355"/>
      <c r="H96" s="355">
        <f t="shared" si="52"/>
        <v>6019</v>
      </c>
      <c r="I96" s="355">
        <v>6019</v>
      </c>
      <c r="J96" s="296"/>
      <c r="K96" s="296"/>
      <c r="L96" s="296"/>
      <c r="M96" s="355">
        <f>3000+3019</f>
        <v>6019</v>
      </c>
      <c r="N96" s="355">
        <f t="shared" si="53"/>
        <v>6019</v>
      </c>
      <c r="O96" s="355">
        <f t="shared" si="54"/>
        <v>6019</v>
      </c>
      <c r="P96" s="296"/>
      <c r="Q96" s="296"/>
      <c r="R96" s="296"/>
      <c r="S96" s="514" t="s">
        <v>1853</v>
      </c>
    </row>
    <row r="97" spans="1:19" s="746" customFormat="1" ht="78" customHeight="1">
      <c r="A97" s="780">
        <v>6</v>
      </c>
      <c r="B97" s="792" t="s">
        <v>335</v>
      </c>
      <c r="C97" s="301" t="s">
        <v>89</v>
      </c>
      <c r="D97" s="768" t="s">
        <v>336</v>
      </c>
      <c r="E97" s="355">
        <v>5000</v>
      </c>
      <c r="F97" s="355">
        <v>4853</v>
      </c>
      <c r="G97" s="355"/>
      <c r="H97" s="355">
        <f t="shared" si="52"/>
        <v>4853</v>
      </c>
      <c r="I97" s="355">
        <v>4853</v>
      </c>
      <c r="J97" s="296"/>
      <c r="K97" s="296"/>
      <c r="L97" s="296"/>
      <c r="M97" s="355">
        <f>2000+2853</f>
        <v>4853</v>
      </c>
      <c r="N97" s="355">
        <f t="shared" si="53"/>
        <v>4853</v>
      </c>
      <c r="O97" s="355">
        <f t="shared" si="54"/>
        <v>4853</v>
      </c>
      <c r="P97" s="296"/>
      <c r="Q97" s="296"/>
      <c r="R97" s="296"/>
      <c r="S97" s="514" t="s">
        <v>1853</v>
      </c>
    </row>
    <row r="98" spans="1:19" s="746" customFormat="1" ht="70.5" customHeight="1">
      <c r="A98" s="780">
        <v>7</v>
      </c>
      <c r="B98" s="792" t="s">
        <v>337</v>
      </c>
      <c r="C98" s="301" t="s">
        <v>89</v>
      </c>
      <c r="D98" s="768" t="s">
        <v>338</v>
      </c>
      <c r="E98" s="355">
        <v>27000</v>
      </c>
      <c r="F98" s="355">
        <f>O98</f>
        <v>25000</v>
      </c>
      <c r="G98" s="355">
        <f>R98</f>
        <v>794</v>
      </c>
      <c r="H98" s="355">
        <f t="shared" si="52"/>
        <v>26794</v>
      </c>
      <c r="I98" s="355">
        <v>26000</v>
      </c>
      <c r="J98" s="296"/>
      <c r="K98" s="296"/>
      <c r="L98" s="355">
        <v>794</v>
      </c>
      <c r="M98" s="355">
        <f>N98</f>
        <v>25794</v>
      </c>
      <c r="N98" s="355">
        <f t="shared" si="53"/>
        <v>25794</v>
      </c>
      <c r="O98" s="355">
        <f>4000+21000</f>
        <v>25000</v>
      </c>
      <c r="P98" s="296"/>
      <c r="Q98" s="296"/>
      <c r="R98" s="355">
        <v>794</v>
      </c>
      <c r="S98" s="514" t="s">
        <v>1884</v>
      </c>
    </row>
    <row r="99" spans="1:19" s="746" customFormat="1" ht="78.75" customHeight="1">
      <c r="A99" s="780">
        <v>8</v>
      </c>
      <c r="B99" s="281" t="s">
        <v>339</v>
      </c>
      <c r="C99" s="301" t="s">
        <v>89</v>
      </c>
      <c r="D99" s="768" t="s">
        <v>340</v>
      </c>
      <c r="E99" s="355">
        <v>5622</v>
      </c>
      <c r="F99" s="355">
        <v>2951</v>
      </c>
      <c r="G99" s="355"/>
      <c r="H99" s="355">
        <f t="shared" si="52"/>
        <v>2951</v>
      </c>
      <c r="I99" s="355">
        <v>2951</v>
      </c>
      <c r="J99" s="296"/>
      <c r="K99" s="296"/>
      <c r="L99" s="296"/>
      <c r="M99" s="355">
        <f>1500+1451</f>
        <v>2951</v>
      </c>
      <c r="N99" s="355">
        <f>SUM(O99:R99)</f>
        <v>2951</v>
      </c>
      <c r="O99" s="355">
        <f>I99</f>
        <v>2951</v>
      </c>
      <c r="P99" s="296"/>
      <c r="Q99" s="296"/>
      <c r="R99" s="296"/>
      <c r="S99" s="514" t="s">
        <v>1853</v>
      </c>
    </row>
    <row r="100" spans="1:19" s="746" customFormat="1" ht="78" customHeight="1">
      <c r="A100" s="780">
        <v>9</v>
      </c>
      <c r="B100" s="281" t="s">
        <v>341</v>
      </c>
      <c r="C100" s="301" t="s">
        <v>89</v>
      </c>
      <c r="D100" s="768" t="s">
        <v>342</v>
      </c>
      <c r="E100" s="355">
        <v>40000</v>
      </c>
      <c r="F100" s="355">
        <v>36300</v>
      </c>
      <c r="G100" s="355"/>
      <c r="H100" s="355">
        <f t="shared" si="52"/>
        <v>36302</v>
      </c>
      <c r="I100" s="355">
        <v>36302</v>
      </c>
      <c r="J100" s="296"/>
      <c r="K100" s="296"/>
      <c r="L100" s="296"/>
      <c r="M100" s="355">
        <f>N100</f>
        <v>35991</v>
      </c>
      <c r="N100" s="355">
        <f>SUM(O100:R100)</f>
        <v>35991</v>
      </c>
      <c r="O100" s="355">
        <f>3500+5000+27491</f>
        <v>35991</v>
      </c>
      <c r="P100" s="296"/>
      <c r="Q100" s="296"/>
      <c r="R100" s="296"/>
      <c r="S100" s="514" t="s">
        <v>1884</v>
      </c>
    </row>
    <row r="101" spans="1:19" s="746" customFormat="1" ht="76.5" customHeight="1">
      <c r="A101" s="780">
        <v>10</v>
      </c>
      <c r="B101" s="281" t="s">
        <v>343</v>
      </c>
      <c r="C101" s="301" t="s">
        <v>89</v>
      </c>
      <c r="D101" s="768" t="s">
        <v>344</v>
      </c>
      <c r="E101" s="355">
        <v>26163</v>
      </c>
      <c r="F101" s="355">
        <f>O101</f>
        <v>19527</v>
      </c>
      <c r="G101" s="355"/>
      <c r="H101" s="355">
        <f t="shared" si="52"/>
        <v>25000</v>
      </c>
      <c r="I101" s="355">
        <v>25000</v>
      </c>
      <c r="J101" s="296"/>
      <c r="K101" s="296"/>
      <c r="L101" s="296"/>
      <c r="M101" s="355">
        <f>N101</f>
        <v>19527</v>
      </c>
      <c r="N101" s="355">
        <f t="shared" ref="N101:N102" si="55">SUM(O101:R101)</f>
        <v>19527</v>
      </c>
      <c r="O101" s="355">
        <f>2000+11200+6327</f>
        <v>19527</v>
      </c>
      <c r="P101" s="296"/>
      <c r="Q101" s="296"/>
      <c r="R101" s="296"/>
      <c r="S101" s="514" t="s">
        <v>1884</v>
      </c>
    </row>
    <row r="102" spans="1:19" s="746" customFormat="1" ht="76.5" customHeight="1">
      <c r="A102" s="780">
        <v>11</v>
      </c>
      <c r="B102" s="281" t="s">
        <v>947</v>
      </c>
      <c r="C102" s="301" t="s">
        <v>89</v>
      </c>
      <c r="D102" s="768" t="s">
        <v>948</v>
      </c>
      <c r="E102" s="355">
        <v>25000</v>
      </c>
      <c r="F102" s="355">
        <f>O102</f>
        <v>3000</v>
      </c>
      <c r="G102" s="355"/>
      <c r="H102" s="355">
        <v>3000</v>
      </c>
      <c r="I102" s="355">
        <v>3000</v>
      </c>
      <c r="J102" s="296"/>
      <c r="K102" s="296"/>
      <c r="L102" s="296"/>
      <c r="M102" s="355"/>
      <c r="N102" s="355">
        <f t="shared" si="55"/>
        <v>3000</v>
      </c>
      <c r="O102" s="355">
        <f>I102</f>
        <v>3000</v>
      </c>
      <c r="P102" s="296"/>
      <c r="Q102" s="296"/>
      <c r="R102" s="296"/>
      <c r="S102" s="514" t="s">
        <v>1835</v>
      </c>
    </row>
    <row r="103" spans="1:19" s="746" customFormat="1" ht="75" customHeight="1">
      <c r="A103" s="780">
        <v>12</v>
      </c>
      <c r="B103" s="281" t="s">
        <v>345</v>
      </c>
      <c r="C103" s="301" t="s">
        <v>88</v>
      </c>
      <c r="D103" s="768" t="s">
        <v>346</v>
      </c>
      <c r="E103" s="355">
        <v>1158000</v>
      </c>
      <c r="F103" s="355">
        <v>466000</v>
      </c>
      <c r="G103" s="355"/>
      <c r="H103" s="355">
        <f t="shared" ref="H103:H110" si="56">I103+L103</f>
        <v>466000</v>
      </c>
      <c r="I103" s="355">
        <f>200000+266000</f>
        <v>466000</v>
      </c>
      <c r="J103" s="296"/>
      <c r="K103" s="296"/>
      <c r="L103" s="355"/>
      <c r="M103" s="790">
        <v>303926</v>
      </c>
      <c r="N103" s="355">
        <f>SUM(O103:R103)</f>
        <v>466000</v>
      </c>
      <c r="O103" s="355">
        <f>I103</f>
        <v>466000</v>
      </c>
      <c r="P103" s="296"/>
      <c r="Q103" s="296"/>
      <c r="R103" s="355"/>
      <c r="S103" s="776" t="s">
        <v>347</v>
      </c>
    </row>
    <row r="104" spans="1:19" s="746" customFormat="1" ht="192.75" customHeight="1">
      <c r="A104" s="780">
        <v>13</v>
      </c>
      <c r="B104" s="793" t="s">
        <v>938</v>
      </c>
      <c r="C104" s="301" t="s">
        <v>88</v>
      </c>
      <c r="D104" s="304" t="s">
        <v>1150</v>
      </c>
      <c r="E104" s="329">
        <v>640000</v>
      </c>
      <c r="F104" s="329">
        <v>10000</v>
      </c>
      <c r="G104" s="329"/>
      <c r="H104" s="355">
        <f t="shared" si="56"/>
        <v>10000</v>
      </c>
      <c r="I104" s="355">
        <v>10000</v>
      </c>
      <c r="J104" s="296"/>
      <c r="K104" s="296"/>
      <c r="L104" s="355"/>
      <c r="M104" s="355"/>
      <c r="N104" s="355"/>
      <c r="O104" s="355"/>
      <c r="P104" s="296"/>
      <c r="Q104" s="296"/>
      <c r="R104" s="355"/>
      <c r="S104" s="514" t="s">
        <v>2295</v>
      </c>
    </row>
    <row r="105" spans="1:19" s="746" customFormat="1" ht="156" customHeight="1">
      <c r="A105" s="780">
        <v>14</v>
      </c>
      <c r="B105" s="281" t="s">
        <v>937</v>
      </c>
      <c r="C105" s="297" t="s">
        <v>88</v>
      </c>
      <c r="D105" s="297" t="s">
        <v>1149</v>
      </c>
      <c r="E105" s="329">
        <v>330000</v>
      </c>
      <c r="F105" s="329">
        <v>10000</v>
      </c>
      <c r="G105" s="329"/>
      <c r="H105" s="355">
        <f t="shared" si="56"/>
        <v>10000</v>
      </c>
      <c r="I105" s="355">
        <v>10000</v>
      </c>
      <c r="J105" s="296"/>
      <c r="K105" s="296"/>
      <c r="L105" s="355"/>
      <c r="M105" s="355">
        <v>10000</v>
      </c>
      <c r="N105" s="355">
        <f>SUM(O105:R105)</f>
        <v>10000</v>
      </c>
      <c r="O105" s="355">
        <f>I105</f>
        <v>10000</v>
      </c>
      <c r="P105" s="296"/>
      <c r="Q105" s="296"/>
      <c r="R105" s="355"/>
      <c r="S105" s="514" t="s">
        <v>1866</v>
      </c>
    </row>
    <row r="106" spans="1:19" s="746" customFormat="1" ht="98.25" customHeight="1">
      <c r="A106" s="780">
        <v>15</v>
      </c>
      <c r="B106" s="322" t="s">
        <v>348</v>
      </c>
      <c r="C106" s="301" t="s">
        <v>89</v>
      </c>
      <c r="D106" s="768" t="s">
        <v>349</v>
      </c>
      <c r="E106" s="355">
        <v>52000</v>
      </c>
      <c r="F106" s="355">
        <f>E106</f>
        <v>52000</v>
      </c>
      <c r="G106" s="355"/>
      <c r="H106" s="355">
        <f t="shared" si="56"/>
        <v>52000</v>
      </c>
      <c r="I106" s="355">
        <v>52000</v>
      </c>
      <c r="J106" s="296"/>
      <c r="K106" s="296"/>
      <c r="L106" s="296"/>
      <c r="M106" s="355">
        <f>1000+10000+40400</f>
        <v>51400</v>
      </c>
      <c r="N106" s="355">
        <f>SUM(O106:R106)</f>
        <v>51400</v>
      </c>
      <c r="O106" s="355">
        <f>M106</f>
        <v>51400</v>
      </c>
      <c r="P106" s="296"/>
      <c r="Q106" s="296"/>
      <c r="R106" s="296"/>
      <c r="S106" s="776" t="s">
        <v>1885</v>
      </c>
    </row>
    <row r="107" spans="1:19" s="746" customFormat="1" ht="85.5" customHeight="1">
      <c r="A107" s="780">
        <v>16</v>
      </c>
      <c r="B107" s="322" t="s">
        <v>966</v>
      </c>
      <c r="C107" s="301" t="s">
        <v>89</v>
      </c>
      <c r="D107" s="768" t="s">
        <v>2145</v>
      </c>
      <c r="E107" s="355">
        <v>11500</v>
      </c>
      <c r="F107" s="355">
        <v>11000</v>
      </c>
      <c r="G107" s="355"/>
      <c r="H107" s="775">
        <f t="shared" si="56"/>
        <v>11000</v>
      </c>
      <c r="I107" s="355">
        <v>11000</v>
      </c>
      <c r="J107" s="296"/>
      <c r="K107" s="296"/>
      <c r="L107" s="355"/>
      <c r="M107" s="790">
        <f>660+6087</f>
        <v>6747</v>
      </c>
      <c r="N107" s="775">
        <f>SUM(O107:R107)</f>
        <v>11000</v>
      </c>
      <c r="O107" s="355">
        <f>I107</f>
        <v>11000</v>
      </c>
      <c r="P107" s="296"/>
      <c r="Q107" s="296"/>
      <c r="R107" s="355"/>
      <c r="S107" s="776"/>
    </row>
    <row r="108" spans="1:19" s="746" customFormat="1" ht="85.5" customHeight="1">
      <c r="A108" s="780">
        <v>17</v>
      </c>
      <c r="B108" s="319" t="s">
        <v>2215</v>
      </c>
      <c r="C108" s="296" t="s">
        <v>86</v>
      </c>
      <c r="D108" s="768"/>
      <c r="E108" s="355"/>
      <c r="F108" s="355"/>
      <c r="G108" s="355"/>
      <c r="H108" s="775"/>
      <c r="I108" s="355"/>
      <c r="J108" s="296"/>
      <c r="K108" s="296"/>
      <c r="L108" s="355"/>
      <c r="M108" s="355"/>
      <c r="N108" s="775">
        <f>O108+R108</f>
        <v>100000</v>
      </c>
      <c r="O108" s="355">
        <v>100000</v>
      </c>
      <c r="P108" s="296"/>
      <c r="Q108" s="296"/>
      <c r="R108" s="355"/>
      <c r="S108" s="794" t="s">
        <v>2217</v>
      </c>
    </row>
    <row r="109" spans="1:19" s="746" customFormat="1" ht="85.5" customHeight="1">
      <c r="A109" s="780">
        <v>18</v>
      </c>
      <c r="B109" s="319" t="s">
        <v>2216</v>
      </c>
      <c r="C109" s="296" t="s">
        <v>88</v>
      </c>
      <c r="D109" s="768"/>
      <c r="E109" s="355">
        <v>175000</v>
      </c>
      <c r="F109" s="355"/>
      <c r="G109" s="355"/>
      <c r="H109" s="775"/>
      <c r="I109" s="355"/>
      <c r="J109" s="296"/>
      <c r="K109" s="296"/>
      <c r="L109" s="355"/>
      <c r="M109" s="355"/>
      <c r="N109" s="775">
        <f>O109+R109</f>
        <v>3000</v>
      </c>
      <c r="O109" s="355">
        <v>3000</v>
      </c>
      <c r="P109" s="296"/>
      <c r="Q109" s="296"/>
      <c r="R109" s="355"/>
      <c r="S109" s="776"/>
    </row>
    <row r="110" spans="1:19" s="746" customFormat="1" ht="111.75" customHeight="1">
      <c r="A110" s="780">
        <v>19</v>
      </c>
      <c r="B110" s="322" t="s">
        <v>2143</v>
      </c>
      <c r="C110" s="301" t="s">
        <v>89</v>
      </c>
      <c r="D110" s="768" t="s">
        <v>2144</v>
      </c>
      <c r="E110" s="355">
        <v>30000</v>
      </c>
      <c r="F110" s="355">
        <v>30000</v>
      </c>
      <c r="G110" s="355"/>
      <c r="H110" s="775">
        <f t="shared" si="56"/>
        <v>7250</v>
      </c>
      <c r="I110" s="355">
        <v>7250</v>
      </c>
      <c r="J110" s="296"/>
      <c r="K110" s="296"/>
      <c r="L110" s="355"/>
      <c r="M110" s="355"/>
      <c r="N110" s="775">
        <f>SUM(O110:R110)</f>
        <v>7250</v>
      </c>
      <c r="O110" s="355">
        <f>I110</f>
        <v>7250</v>
      </c>
      <c r="P110" s="296"/>
      <c r="Q110" s="296"/>
      <c r="R110" s="355"/>
      <c r="S110" s="776" t="s">
        <v>2146</v>
      </c>
    </row>
    <row r="111" spans="1:19" s="746" customFormat="1" ht="189.75" customHeight="1">
      <c r="A111" s="742" t="s">
        <v>133</v>
      </c>
      <c r="B111" s="292" t="s">
        <v>350</v>
      </c>
      <c r="C111" s="514"/>
      <c r="D111" s="296"/>
      <c r="E111" s="462">
        <f>E112+E139</f>
        <v>847476</v>
      </c>
      <c r="F111" s="462">
        <f>F112+F139</f>
        <v>528041</v>
      </c>
      <c r="G111" s="462">
        <f>G112+G139</f>
        <v>2753</v>
      </c>
      <c r="H111" s="462">
        <f>H112+H139</f>
        <v>527320</v>
      </c>
      <c r="I111" s="462">
        <f>I112+I139</f>
        <v>524567</v>
      </c>
      <c r="J111" s="462"/>
      <c r="K111" s="462"/>
      <c r="L111" s="462">
        <f t="shared" ref="L111:R111" si="57">L112+L139</f>
        <v>2753</v>
      </c>
      <c r="M111" s="462">
        <f t="shared" si="57"/>
        <v>457824</v>
      </c>
      <c r="N111" s="462">
        <f t="shared" si="57"/>
        <v>550196</v>
      </c>
      <c r="O111" s="462">
        <f t="shared" si="57"/>
        <v>547443</v>
      </c>
      <c r="P111" s="462"/>
      <c r="Q111" s="462"/>
      <c r="R111" s="462">
        <f t="shared" si="57"/>
        <v>2753</v>
      </c>
      <c r="S111" s="514" t="s">
        <v>1891</v>
      </c>
    </row>
    <row r="112" spans="1:19" s="746" customFormat="1" ht="67.5" customHeight="1">
      <c r="A112" s="795" t="s">
        <v>351</v>
      </c>
      <c r="B112" s="294" t="s">
        <v>352</v>
      </c>
      <c r="C112" s="375"/>
      <c r="D112" s="296"/>
      <c r="E112" s="377">
        <f>E113+E122</f>
        <v>794915</v>
      </c>
      <c r="F112" s="377">
        <f t="shared" ref="F112:G112" si="58">F113+F122</f>
        <v>518430</v>
      </c>
      <c r="G112" s="377">
        <f t="shared" si="58"/>
        <v>2753</v>
      </c>
      <c r="H112" s="377">
        <f>H113+H122</f>
        <v>517709</v>
      </c>
      <c r="I112" s="377">
        <f>I113+I122</f>
        <v>514956</v>
      </c>
      <c r="J112" s="377"/>
      <c r="K112" s="377"/>
      <c r="L112" s="377">
        <f>L113+L122</f>
        <v>2753</v>
      </c>
      <c r="M112" s="377">
        <f t="shared" ref="M112:R112" si="59">M113+M122</f>
        <v>448213</v>
      </c>
      <c r="N112" s="377">
        <f t="shared" si="59"/>
        <v>540585</v>
      </c>
      <c r="O112" s="377">
        <f t="shared" si="59"/>
        <v>537832</v>
      </c>
      <c r="P112" s="377"/>
      <c r="Q112" s="377"/>
      <c r="R112" s="377">
        <f t="shared" si="59"/>
        <v>2753</v>
      </c>
      <c r="S112" s="514"/>
    </row>
    <row r="113" spans="1:19" s="746" customFormat="1" ht="100.5" customHeight="1">
      <c r="A113" s="760" t="s">
        <v>28</v>
      </c>
      <c r="B113" s="761" t="s">
        <v>97</v>
      </c>
      <c r="C113" s="290"/>
      <c r="D113" s="296"/>
      <c r="E113" s="462">
        <f>E114+E116</f>
        <v>218900</v>
      </c>
      <c r="F113" s="462">
        <f t="shared" ref="F113" si="60">F114+F116</f>
        <v>47840</v>
      </c>
      <c r="G113" s="462"/>
      <c r="H113" s="462">
        <f>H114+H116</f>
        <v>47840</v>
      </c>
      <c r="I113" s="462">
        <f>I114+I116</f>
        <v>47840</v>
      </c>
      <c r="J113" s="462"/>
      <c r="K113" s="462"/>
      <c r="L113" s="462"/>
      <c r="M113" s="462">
        <f t="shared" ref="M113:O113" si="61">M114+M116</f>
        <v>47400</v>
      </c>
      <c r="N113" s="462">
        <f t="shared" si="61"/>
        <v>47400</v>
      </c>
      <c r="O113" s="462">
        <f t="shared" si="61"/>
        <v>47400</v>
      </c>
      <c r="P113" s="462"/>
      <c r="Q113" s="462"/>
      <c r="R113" s="462"/>
      <c r="S113" s="514"/>
    </row>
    <row r="114" spans="1:19" s="746" customFormat="1" ht="83.25" customHeight="1">
      <c r="A114" s="763" t="s">
        <v>279</v>
      </c>
      <c r="B114" s="764" t="s">
        <v>280</v>
      </c>
      <c r="C114" s="374"/>
      <c r="D114" s="296"/>
      <c r="E114" s="377">
        <f>SUM(E115:E115)</f>
        <v>86400</v>
      </c>
      <c r="F114" s="377">
        <f t="shared" ref="F114" si="62">SUM(F115:F115)</f>
        <v>6506</v>
      </c>
      <c r="G114" s="377"/>
      <c r="H114" s="377">
        <f>SUM(H115:H115)</f>
        <v>6506</v>
      </c>
      <c r="I114" s="377">
        <f>SUM(I115:I115)</f>
        <v>6506</v>
      </c>
      <c r="J114" s="377"/>
      <c r="K114" s="377"/>
      <c r="L114" s="377"/>
      <c r="M114" s="377">
        <f t="shared" ref="M114:O114" si="63">SUM(M115:M115)</f>
        <v>6506</v>
      </c>
      <c r="N114" s="377">
        <f t="shared" si="63"/>
        <v>6506</v>
      </c>
      <c r="O114" s="377">
        <f t="shared" si="63"/>
        <v>6506</v>
      </c>
      <c r="P114" s="377"/>
      <c r="Q114" s="377"/>
      <c r="R114" s="377"/>
      <c r="S114" s="514"/>
    </row>
    <row r="115" spans="1:19" s="746" customFormat="1" ht="75" customHeight="1">
      <c r="A115" s="780">
        <v>1</v>
      </c>
      <c r="B115" s="319" t="s">
        <v>353</v>
      </c>
      <c r="C115" s="297" t="s">
        <v>88</v>
      </c>
      <c r="D115" s="766" t="s">
        <v>354</v>
      </c>
      <c r="E115" s="355">
        <v>86400</v>
      </c>
      <c r="F115" s="355">
        <v>6506</v>
      </c>
      <c r="G115" s="355"/>
      <c r="H115" s="355">
        <f>I115+L115</f>
        <v>6506</v>
      </c>
      <c r="I115" s="355">
        <v>6506</v>
      </c>
      <c r="J115" s="296"/>
      <c r="K115" s="296"/>
      <c r="L115" s="296"/>
      <c r="M115" s="355">
        <f>6506</f>
        <v>6506</v>
      </c>
      <c r="N115" s="355">
        <f>SUM(O115:R115)</f>
        <v>6506</v>
      </c>
      <c r="O115" s="355">
        <f>I115</f>
        <v>6506</v>
      </c>
      <c r="P115" s="296"/>
      <c r="Q115" s="296"/>
      <c r="R115" s="296"/>
      <c r="S115" s="514"/>
    </row>
    <row r="116" spans="1:19" s="746" customFormat="1" ht="58.5" customHeight="1">
      <c r="A116" s="763" t="s">
        <v>98</v>
      </c>
      <c r="B116" s="764" t="s">
        <v>99</v>
      </c>
      <c r="C116" s="374"/>
      <c r="D116" s="766"/>
      <c r="E116" s="758">
        <f>SUM(E117:E121)</f>
        <v>132500</v>
      </c>
      <c r="F116" s="758">
        <f t="shared" ref="F116:O116" si="64">SUM(F117:F121)</f>
        <v>41334</v>
      </c>
      <c r="G116" s="758"/>
      <c r="H116" s="758">
        <f>SUM(H117:H121)</f>
        <v>41334</v>
      </c>
      <c r="I116" s="758">
        <f>SUM(I117:I121)</f>
        <v>41334</v>
      </c>
      <c r="J116" s="758"/>
      <c r="K116" s="758"/>
      <c r="L116" s="758"/>
      <c r="M116" s="758">
        <f t="shared" si="64"/>
        <v>40894</v>
      </c>
      <c r="N116" s="758">
        <f t="shared" si="64"/>
        <v>40894</v>
      </c>
      <c r="O116" s="758">
        <f t="shared" si="64"/>
        <v>40894</v>
      </c>
      <c r="P116" s="758"/>
      <c r="Q116" s="758"/>
      <c r="R116" s="758"/>
      <c r="S116" s="514"/>
    </row>
    <row r="117" spans="1:19" s="746" customFormat="1" ht="82.5" customHeight="1">
      <c r="A117" s="780">
        <v>1</v>
      </c>
      <c r="B117" s="767" t="s">
        <v>355</v>
      </c>
      <c r="C117" s="768"/>
      <c r="D117" s="296"/>
      <c r="E117" s="296"/>
      <c r="F117" s="296"/>
      <c r="G117" s="296"/>
      <c r="H117" s="355"/>
      <c r="I117" s="309"/>
      <c r="J117" s="309"/>
      <c r="K117" s="309"/>
      <c r="L117" s="309"/>
      <c r="M117" s="329"/>
      <c r="N117" s="355"/>
      <c r="O117" s="309"/>
      <c r="P117" s="309"/>
      <c r="Q117" s="309"/>
      <c r="R117" s="309"/>
      <c r="S117" s="514" t="s">
        <v>1853</v>
      </c>
    </row>
    <row r="118" spans="1:19" s="288" customFormat="1" ht="97.5" customHeight="1">
      <c r="A118" s="750" t="s">
        <v>356</v>
      </c>
      <c r="B118" s="796" t="s">
        <v>357</v>
      </c>
      <c r="C118" s="797" t="s">
        <v>89</v>
      </c>
      <c r="D118" s="573" t="s">
        <v>358</v>
      </c>
      <c r="E118" s="798">
        <v>25000</v>
      </c>
      <c r="F118" s="749">
        <v>12149</v>
      </c>
      <c r="G118" s="749"/>
      <c r="H118" s="355">
        <f>I118+L118</f>
        <v>12149</v>
      </c>
      <c r="I118" s="394">
        <v>12149</v>
      </c>
      <c r="J118" s="394"/>
      <c r="K118" s="394"/>
      <c r="L118" s="394"/>
      <c r="M118" s="799">
        <f>5000+7149</f>
        <v>12149</v>
      </c>
      <c r="N118" s="749">
        <f>SUM(O118:R118)</f>
        <v>12149</v>
      </c>
      <c r="O118" s="394">
        <f>I118</f>
        <v>12149</v>
      </c>
      <c r="P118" s="394"/>
      <c r="Q118" s="394"/>
      <c r="R118" s="394"/>
      <c r="S118" s="514"/>
    </row>
    <row r="119" spans="1:19" s="288" customFormat="1" ht="82.5" customHeight="1">
      <c r="A119" s="750" t="s">
        <v>359</v>
      </c>
      <c r="B119" s="796" t="s">
        <v>360</v>
      </c>
      <c r="C119" s="797" t="s">
        <v>89</v>
      </c>
      <c r="D119" s="573" t="s">
        <v>361</v>
      </c>
      <c r="E119" s="798">
        <v>20000</v>
      </c>
      <c r="F119" s="749">
        <v>5457</v>
      </c>
      <c r="G119" s="749"/>
      <c r="H119" s="798">
        <f>I119+L119</f>
        <v>5457</v>
      </c>
      <c r="I119" s="798">
        <v>5457</v>
      </c>
      <c r="J119" s="394"/>
      <c r="K119" s="394"/>
      <c r="L119" s="394"/>
      <c r="M119" s="799">
        <f>5457</f>
        <v>5457</v>
      </c>
      <c r="N119" s="749">
        <f>SUM(O119:R119)</f>
        <v>5457</v>
      </c>
      <c r="O119" s="394">
        <f>I119</f>
        <v>5457</v>
      </c>
      <c r="P119" s="394"/>
      <c r="Q119" s="394"/>
      <c r="R119" s="394"/>
      <c r="S119" s="514"/>
    </row>
    <row r="120" spans="1:19" s="288" customFormat="1" ht="79.5" customHeight="1">
      <c r="A120" s="750" t="s">
        <v>362</v>
      </c>
      <c r="B120" s="796" t="s">
        <v>363</v>
      </c>
      <c r="C120" s="797" t="s">
        <v>89</v>
      </c>
      <c r="D120" s="573" t="s">
        <v>364</v>
      </c>
      <c r="E120" s="798">
        <v>7500</v>
      </c>
      <c r="F120" s="749">
        <v>728</v>
      </c>
      <c r="G120" s="749"/>
      <c r="H120" s="798">
        <f>I120+L120</f>
        <v>728</v>
      </c>
      <c r="I120" s="798">
        <v>728</v>
      </c>
      <c r="J120" s="394"/>
      <c r="K120" s="394"/>
      <c r="L120" s="394"/>
      <c r="M120" s="799">
        <f>728</f>
        <v>728</v>
      </c>
      <c r="N120" s="749">
        <f>SUM(O120:R120)</f>
        <v>728</v>
      </c>
      <c r="O120" s="394">
        <f>I120</f>
        <v>728</v>
      </c>
      <c r="P120" s="394"/>
      <c r="Q120" s="394"/>
      <c r="R120" s="394"/>
      <c r="S120" s="514"/>
    </row>
    <row r="121" spans="1:19" s="746" customFormat="1" ht="75.75" customHeight="1">
      <c r="A121" s="780">
        <v>2</v>
      </c>
      <c r="B121" s="781" t="s">
        <v>365</v>
      </c>
      <c r="C121" s="278" t="s">
        <v>88</v>
      </c>
      <c r="D121" s="573" t="s">
        <v>366</v>
      </c>
      <c r="E121" s="355">
        <v>80000</v>
      </c>
      <c r="F121" s="355">
        <v>23000</v>
      </c>
      <c r="G121" s="355"/>
      <c r="H121" s="355">
        <f>I121+L121</f>
        <v>23000</v>
      </c>
      <c r="I121" s="394">
        <v>23000</v>
      </c>
      <c r="J121" s="296"/>
      <c r="K121" s="296"/>
      <c r="L121" s="296"/>
      <c r="M121" s="355">
        <f>7222+14500+838</f>
        <v>22560</v>
      </c>
      <c r="N121" s="355">
        <f>SUM(O121:R121)</f>
        <v>22560</v>
      </c>
      <c r="O121" s="309">
        <f>M121</f>
        <v>22560</v>
      </c>
      <c r="P121" s="296"/>
      <c r="Q121" s="296"/>
      <c r="R121" s="296"/>
      <c r="S121" s="514" t="s">
        <v>1853</v>
      </c>
    </row>
    <row r="122" spans="1:19" s="746" customFormat="1" ht="80.25" customHeight="1">
      <c r="A122" s="760" t="s">
        <v>30</v>
      </c>
      <c r="B122" s="761" t="s">
        <v>106</v>
      </c>
      <c r="C122" s="290"/>
      <c r="D122" s="296"/>
      <c r="E122" s="745">
        <f>SUM(E123:E138)</f>
        <v>576015</v>
      </c>
      <c r="F122" s="745">
        <f>SUM(F123:F138)</f>
        <v>470590</v>
      </c>
      <c r="G122" s="745">
        <f>SUM(G123:G138)</f>
        <v>2753</v>
      </c>
      <c r="H122" s="745">
        <f>SUM(H123:H138)</f>
        <v>469869</v>
      </c>
      <c r="I122" s="745">
        <f>SUM(I123:I138)</f>
        <v>467116</v>
      </c>
      <c r="J122" s="745"/>
      <c r="K122" s="745"/>
      <c r="L122" s="745">
        <f t="shared" ref="L122:R122" si="65">SUM(L123:L138)</f>
        <v>2753</v>
      </c>
      <c r="M122" s="745">
        <f t="shared" si="65"/>
        <v>400813</v>
      </c>
      <c r="N122" s="745">
        <f t="shared" si="65"/>
        <v>493185</v>
      </c>
      <c r="O122" s="745">
        <f t="shared" si="65"/>
        <v>490432</v>
      </c>
      <c r="P122" s="745"/>
      <c r="Q122" s="745"/>
      <c r="R122" s="745">
        <f t="shared" si="65"/>
        <v>2753</v>
      </c>
      <c r="S122" s="514"/>
    </row>
    <row r="123" spans="1:19" s="746" customFormat="1" ht="88.5" customHeight="1">
      <c r="A123" s="780">
        <v>1</v>
      </c>
      <c r="B123" s="281" t="s">
        <v>367</v>
      </c>
      <c r="C123" s="301" t="s">
        <v>88</v>
      </c>
      <c r="D123" s="573" t="s">
        <v>368</v>
      </c>
      <c r="E123" s="800">
        <f t="shared" ref="E123:E137" si="66">F123</f>
        <v>60000</v>
      </c>
      <c r="F123" s="800">
        <v>60000</v>
      </c>
      <c r="G123" s="800"/>
      <c r="H123" s="800">
        <f t="shared" ref="H123:H138" si="67">I123+L123</f>
        <v>48000</v>
      </c>
      <c r="I123" s="800">
        <v>48000</v>
      </c>
      <c r="J123" s="296"/>
      <c r="K123" s="296"/>
      <c r="L123" s="355"/>
      <c r="M123" s="329">
        <f>1653+10000+10000</f>
        <v>21653</v>
      </c>
      <c r="N123" s="800">
        <f>SUM(O123:R123)</f>
        <v>48000</v>
      </c>
      <c r="O123" s="800">
        <f>I123</f>
        <v>48000</v>
      </c>
      <c r="P123" s="296"/>
      <c r="Q123" s="296"/>
      <c r="R123" s="355"/>
      <c r="S123" s="514"/>
    </row>
    <row r="124" spans="1:19" s="746" customFormat="1" ht="88.5" customHeight="1">
      <c r="A124" s="780">
        <v>2</v>
      </c>
      <c r="B124" s="319" t="s">
        <v>2218</v>
      </c>
      <c r="C124" s="301"/>
      <c r="D124" s="573"/>
      <c r="E124" s="329">
        <v>40000</v>
      </c>
      <c r="F124" s="800"/>
      <c r="G124" s="800"/>
      <c r="H124" s="800"/>
      <c r="I124" s="800"/>
      <c r="J124" s="296"/>
      <c r="K124" s="296"/>
      <c r="L124" s="355"/>
      <c r="M124" s="355"/>
      <c r="N124" s="800">
        <f>O124+R124</f>
        <v>7000</v>
      </c>
      <c r="O124" s="329">
        <v>7000</v>
      </c>
      <c r="P124" s="296"/>
      <c r="Q124" s="296"/>
      <c r="R124" s="355"/>
      <c r="S124" s="514" t="s">
        <v>2297</v>
      </c>
    </row>
    <row r="125" spans="1:19" s="746" customFormat="1" ht="88.5" customHeight="1">
      <c r="A125" s="780">
        <v>3</v>
      </c>
      <c r="B125" s="319" t="s">
        <v>2219</v>
      </c>
      <c r="C125" s="301"/>
      <c r="D125" s="573"/>
      <c r="E125" s="329">
        <v>23000</v>
      </c>
      <c r="F125" s="800"/>
      <c r="G125" s="800"/>
      <c r="H125" s="800"/>
      <c r="I125" s="800"/>
      <c r="J125" s="296"/>
      <c r="K125" s="296"/>
      <c r="L125" s="355"/>
      <c r="M125" s="355"/>
      <c r="N125" s="800">
        <f t="shared" ref="N125:N126" si="68">O125+R125</f>
        <v>3000</v>
      </c>
      <c r="O125" s="329">
        <v>3000</v>
      </c>
      <c r="P125" s="296"/>
      <c r="Q125" s="296"/>
      <c r="R125" s="355"/>
      <c r="S125" s="514" t="s">
        <v>2297</v>
      </c>
    </row>
    <row r="126" spans="1:19" s="746" customFormat="1" ht="88.5" customHeight="1">
      <c r="A126" s="780">
        <v>4</v>
      </c>
      <c r="B126" s="773" t="s">
        <v>2300</v>
      </c>
      <c r="C126" s="301"/>
      <c r="D126" s="573"/>
      <c r="E126" s="329">
        <v>30000</v>
      </c>
      <c r="F126" s="800"/>
      <c r="G126" s="800"/>
      <c r="H126" s="800"/>
      <c r="I126" s="800"/>
      <c r="J126" s="296"/>
      <c r="K126" s="296"/>
      <c r="L126" s="355"/>
      <c r="M126" s="355"/>
      <c r="N126" s="800">
        <f t="shared" si="68"/>
        <v>30000</v>
      </c>
      <c r="O126" s="329">
        <f>10000+10000+10000</f>
        <v>30000</v>
      </c>
      <c r="P126" s="296"/>
      <c r="Q126" s="296"/>
      <c r="R126" s="355"/>
      <c r="S126" s="514" t="s">
        <v>2297</v>
      </c>
    </row>
    <row r="127" spans="1:19" s="746" customFormat="1" ht="85.5" customHeight="1">
      <c r="A127" s="780">
        <v>5</v>
      </c>
      <c r="B127" s="281" t="s">
        <v>369</v>
      </c>
      <c r="C127" s="301" t="s">
        <v>88</v>
      </c>
      <c r="D127" s="573" t="s">
        <v>370</v>
      </c>
      <c r="E127" s="800">
        <f t="shared" si="66"/>
        <v>80000</v>
      </c>
      <c r="F127" s="800">
        <v>80000</v>
      </c>
      <c r="G127" s="800"/>
      <c r="H127" s="800">
        <f t="shared" si="67"/>
        <v>80000</v>
      </c>
      <c r="I127" s="800">
        <v>80000</v>
      </c>
      <c r="J127" s="296"/>
      <c r="K127" s="296"/>
      <c r="L127" s="355"/>
      <c r="M127" s="355">
        <f>22322+8108+29431+13000</f>
        <v>72861</v>
      </c>
      <c r="N127" s="800">
        <f>SUM(O127:R127)</f>
        <v>72861</v>
      </c>
      <c r="O127" s="800">
        <f>M127</f>
        <v>72861</v>
      </c>
      <c r="P127" s="296"/>
      <c r="Q127" s="296"/>
      <c r="R127" s="355"/>
      <c r="S127" s="801" t="s">
        <v>2296</v>
      </c>
    </row>
    <row r="128" spans="1:19" s="746" customFormat="1" ht="86.25" customHeight="1">
      <c r="A128" s="780">
        <v>6</v>
      </c>
      <c r="B128" s="281" t="s">
        <v>371</v>
      </c>
      <c r="C128" s="297" t="s">
        <v>89</v>
      </c>
      <c r="D128" s="573" t="s">
        <v>372</v>
      </c>
      <c r="E128" s="800">
        <f t="shared" si="66"/>
        <v>20000</v>
      </c>
      <c r="F128" s="800">
        <v>20000</v>
      </c>
      <c r="G128" s="800"/>
      <c r="H128" s="800">
        <f t="shared" si="67"/>
        <v>20000</v>
      </c>
      <c r="I128" s="800">
        <v>20000</v>
      </c>
      <c r="J128" s="296"/>
      <c r="K128" s="296"/>
      <c r="L128" s="296"/>
      <c r="M128" s="355">
        <f>3000+5000+11444</f>
        <v>19444</v>
      </c>
      <c r="N128" s="800">
        <f t="shared" ref="N128:N129" si="69">SUM(O128:R128)</f>
        <v>19444</v>
      </c>
      <c r="O128" s="800">
        <f>M128</f>
        <v>19444</v>
      </c>
      <c r="P128" s="296"/>
      <c r="Q128" s="296"/>
      <c r="R128" s="296"/>
      <c r="S128" s="801" t="s">
        <v>2296</v>
      </c>
    </row>
    <row r="129" spans="1:19" s="746" customFormat="1" ht="84.75" customHeight="1">
      <c r="A129" s="780">
        <v>7</v>
      </c>
      <c r="B129" s="281" t="s">
        <v>373</v>
      </c>
      <c r="C129" s="297" t="s">
        <v>89</v>
      </c>
      <c r="D129" s="573" t="s">
        <v>374</v>
      </c>
      <c r="E129" s="800">
        <f t="shared" si="66"/>
        <v>10591</v>
      </c>
      <c r="F129" s="800">
        <v>10591</v>
      </c>
      <c r="G129" s="800"/>
      <c r="H129" s="800">
        <f t="shared" si="67"/>
        <v>10591</v>
      </c>
      <c r="I129" s="800">
        <v>10591</v>
      </c>
      <c r="J129" s="296"/>
      <c r="K129" s="296"/>
      <c r="L129" s="296"/>
      <c r="M129" s="355">
        <f>9077+1514</f>
        <v>10591</v>
      </c>
      <c r="N129" s="800">
        <f t="shared" si="69"/>
        <v>10591</v>
      </c>
      <c r="O129" s="800">
        <f t="shared" ref="O129" si="70">I129</f>
        <v>10591</v>
      </c>
      <c r="P129" s="296"/>
      <c r="Q129" s="296"/>
      <c r="R129" s="296"/>
      <c r="S129" s="514"/>
    </row>
    <row r="130" spans="1:19" s="746" customFormat="1" ht="73.5" customHeight="1">
      <c r="A130" s="780">
        <v>8</v>
      </c>
      <c r="B130" s="792" t="s">
        <v>375</v>
      </c>
      <c r="C130" s="297" t="s">
        <v>89</v>
      </c>
      <c r="D130" s="304" t="s">
        <v>376</v>
      </c>
      <c r="E130" s="800">
        <v>5309</v>
      </c>
      <c r="F130" s="800">
        <v>5001</v>
      </c>
      <c r="G130" s="800"/>
      <c r="H130" s="800">
        <f t="shared" si="67"/>
        <v>5000</v>
      </c>
      <c r="I130" s="800">
        <v>5000</v>
      </c>
      <c r="J130" s="296"/>
      <c r="K130" s="296"/>
      <c r="L130" s="296"/>
      <c r="M130" s="355">
        <v>5001</v>
      </c>
      <c r="N130" s="800">
        <f>SUM(O130:R130)</f>
        <v>5001</v>
      </c>
      <c r="O130" s="800">
        <f>M130</f>
        <v>5001</v>
      </c>
      <c r="P130" s="296"/>
      <c r="Q130" s="296"/>
      <c r="R130" s="296"/>
      <c r="S130" s="296" t="s">
        <v>1853</v>
      </c>
    </row>
    <row r="131" spans="1:19" s="746" customFormat="1" ht="73.5" customHeight="1">
      <c r="A131" s="780">
        <v>9</v>
      </c>
      <c r="B131" s="281" t="s">
        <v>377</v>
      </c>
      <c r="C131" s="297" t="s">
        <v>89</v>
      </c>
      <c r="D131" s="573" t="s">
        <v>378</v>
      </c>
      <c r="E131" s="800">
        <f t="shared" si="66"/>
        <v>5525</v>
      </c>
      <c r="F131" s="800">
        <v>5525</v>
      </c>
      <c r="G131" s="800"/>
      <c r="H131" s="800">
        <f t="shared" si="67"/>
        <v>5525</v>
      </c>
      <c r="I131" s="800">
        <v>5525</v>
      </c>
      <c r="J131" s="296"/>
      <c r="K131" s="296"/>
      <c r="L131" s="296"/>
      <c r="M131" s="355">
        <f>5525</f>
        <v>5525</v>
      </c>
      <c r="N131" s="800">
        <f>SUM(O131:R131)</f>
        <v>5525</v>
      </c>
      <c r="O131" s="800">
        <f>I131</f>
        <v>5525</v>
      </c>
      <c r="P131" s="296"/>
      <c r="Q131" s="296"/>
      <c r="R131" s="296"/>
      <c r="S131" s="514"/>
    </row>
    <row r="132" spans="1:19" s="746" customFormat="1" ht="105.75" customHeight="1">
      <c r="A132" s="780">
        <v>10</v>
      </c>
      <c r="B132" s="281" t="s">
        <v>379</v>
      </c>
      <c r="C132" s="297" t="s">
        <v>89</v>
      </c>
      <c r="D132" s="573" t="s">
        <v>380</v>
      </c>
      <c r="E132" s="800">
        <f t="shared" si="66"/>
        <v>20000</v>
      </c>
      <c r="F132" s="355">
        <v>20000</v>
      </c>
      <c r="G132" s="355"/>
      <c r="H132" s="800">
        <f t="shared" si="67"/>
        <v>20000</v>
      </c>
      <c r="I132" s="800">
        <v>20000</v>
      </c>
      <c r="J132" s="296"/>
      <c r="K132" s="296"/>
      <c r="L132" s="296"/>
      <c r="M132" s="355">
        <f>5745+5100+8692</f>
        <v>19537</v>
      </c>
      <c r="N132" s="800">
        <f t="shared" ref="N132:N137" si="71">SUM(O132:R132)</f>
        <v>19537</v>
      </c>
      <c r="O132" s="800">
        <f>M132</f>
        <v>19537</v>
      </c>
      <c r="P132" s="296"/>
      <c r="Q132" s="296"/>
      <c r="R132" s="296"/>
      <c r="S132" s="514"/>
    </row>
    <row r="133" spans="1:19" s="746" customFormat="1" ht="75.75" customHeight="1">
      <c r="A133" s="780">
        <v>11</v>
      </c>
      <c r="B133" s="281" t="s">
        <v>381</v>
      </c>
      <c r="C133" s="297" t="s">
        <v>89</v>
      </c>
      <c r="D133" s="573" t="s">
        <v>382</v>
      </c>
      <c r="E133" s="800">
        <v>2000</v>
      </c>
      <c r="F133" s="355"/>
      <c r="G133" s="355">
        <f>R133</f>
        <v>1975</v>
      </c>
      <c r="H133" s="800">
        <f t="shared" si="67"/>
        <v>1975</v>
      </c>
      <c r="I133" s="800"/>
      <c r="J133" s="296"/>
      <c r="K133" s="296"/>
      <c r="L133" s="355">
        <v>1975</v>
      </c>
      <c r="M133" s="355">
        <f>1975</f>
        <v>1975</v>
      </c>
      <c r="N133" s="800">
        <f t="shared" si="71"/>
        <v>1975</v>
      </c>
      <c r="O133" s="800"/>
      <c r="P133" s="296"/>
      <c r="Q133" s="296"/>
      <c r="R133" s="355">
        <f>L133</f>
        <v>1975</v>
      </c>
      <c r="S133" s="514"/>
    </row>
    <row r="134" spans="1:19" s="746" customFormat="1" ht="126.75" customHeight="1">
      <c r="A134" s="780">
        <v>12</v>
      </c>
      <c r="B134" s="281" t="s">
        <v>383</v>
      </c>
      <c r="C134" s="304" t="s">
        <v>89</v>
      </c>
      <c r="D134" s="573" t="s">
        <v>384</v>
      </c>
      <c r="E134" s="800">
        <v>30000</v>
      </c>
      <c r="F134" s="355">
        <f>O134</f>
        <v>27473</v>
      </c>
      <c r="G134" s="355">
        <f>R134</f>
        <v>778</v>
      </c>
      <c r="H134" s="800">
        <f t="shared" si="67"/>
        <v>29778</v>
      </c>
      <c r="I134" s="800">
        <v>29000</v>
      </c>
      <c r="J134" s="296"/>
      <c r="K134" s="296"/>
      <c r="L134" s="355">
        <v>778</v>
      </c>
      <c r="M134" s="355">
        <f>778+3700+23773</f>
        <v>28251</v>
      </c>
      <c r="N134" s="800">
        <f t="shared" si="71"/>
        <v>28251</v>
      </c>
      <c r="O134" s="800">
        <f>3700+23773</f>
        <v>27473</v>
      </c>
      <c r="P134" s="296"/>
      <c r="Q134" s="296"/>
      <c r="R134" s="355">
        <v>778</v>
      </c>
      <c r="S134" s="801" t="s">
        <v>2296</v>
      </c>
    </row>
    <row r="135" spans="1:19" s="746" customFormat="1" ht="105.75" customHeight="1">
      <c r="A135" s="780">
        <v>13</v>
      </c>
      <c r="B135" s="281" t="s">
        <v>385</v>
      </c>
      <c r="C135" s="304" t="s">
        <v>88</v>
      </c>
      <c r="D135" s="573" t="s">
        <v>386</v>
      </c>
      <c r="E135" s="800">
        <v>45000</v>
      </c>
      <c r="F135" s="355">
        <f>E135</f>
        <v>45000</v>
      </c>
      <c r="G135" s="355"/>
      <c r="H135" s="800">
        <f t="shared" si="67"/>
        <v>45000</v>
      </c>
      <c r="I135" s="800">
        <v>45000</v>
      </c>
      <c r="J135" s="296"/>
      <c r="K135" s="296"/>
      <c r="L135" s="296"/>
      <c r="M135" s="355">
        <f>5000+30000</f>
        <v>35000</v>
      </c>
      <c r="N135" s="800">
        <f t="shared" si="71"/>
        <v>45000</v>
      </c>
      <c r="O135" s="800">
        <f>I135</f>
        <v>45000</v>
      </c>
      <c r="P135" s="296"/>
      <c r="Q135" s="296"/>
      <c r="R135" s="296"/>
      <c r="S135" s="514"/>
    </row>
    <row r="136" spans="1:19" s="746" customFormat="1" ht="81.75" customHeight="1">
      <c r="A136" s="780">
        <v>14</v>
      </c>
      <c r="B136" s="281" t="s">
        <v>387</v>
      </c>
      <c r="C136" s="304" t="s">
        <v>88</v>
      </c>
      <c r="D136" s="573" t="s">
        <v>1913</v>
      </c>
      <c r="E136" s="800">
        <v>8000</v>
      </c>
      <c r="F136" s="355">
        <f>E136</f>
        <v>8000</v>
      </c>
      <c r="G136" s="355"/>
      <c r="H136" s="800">
        <f t="shared" si="67"/>
        <v>8000</v>
      </c>
      <c r="I136" s="800">
        <v>8000</v>
      </c>
      <c r="J136" s="296"/>
      <c r="K136" s="296"/>
      <c r="L136" s="296"/>
      <c r="M136" s="355">
        <f>3000</f>
        <v>3000</v>
      </c>
      <c r="N136" s="800">
        <f t="shared" si="71"/>
        <v>8000</v>
      </c>
      <c r="O136" s="800">
        <f>I136</f>
        <v>8000</v>
      </c>
      <c r="P136" s="296"/>
      <c r="Q136" s="296"/>
      <c r="R136" s="296"/>
      <c r="S136" s="514"/>
    </row>
    <row r="137" spans="1:19" s="746" customFormat="1" ht="106.5" customHeight="1">
      <c r="A137" s="780">
        <v>15</v>
      </c>
      <c r="B137" s="281" t="s">
        <v>388</v>
      </c>
      <c r="C137" s="304" t="s">
        <v>88</v>
      </c>
      <c r="D137" s="573" t="s">
        <v>389</v>
      </c>
      <c r="E137" s="800">
        <f t="shared" si="66"/>
        <v>120000</v>
      </c>
      <c r="F137" s="355">
        <v>120000</v>
      </c>
      <c r="G137" s="355"/>
      <c r="H137" s="800">
        <f t="shared" si="67"/>
        <v>120000</v>
      </c>
      <c r="I137" s="800">
        <v>120000</v>
      </c>
      <c r="J137" s="296"/>
      <c r="K137" s="296"/>
      <c r="L137" s="296"/>
      <c r="M137" s="545">
        <f>2824+11000+45151+50000</f>
        <v>108975</v>
      </c>
      <c r="N137" s="800">
        <f t="shared" si="71"/>
        <v>120000</v>
      </c>
      <c r="O137" s="800">
        <f>I137</f>
        <v>120000</v>
      </c>
      <c r="P137" s="296"/>
      <c r="Q137" s="296"/>
      <c r="R137" s="296"/>
      <c r="S137" s="514"/>
    </row>
    <row r="138" spans="1:19" s="746" customFormat="1" ht="113.25" customHeight="1">
      <c r="A138" s="780">
        <v>16</v>
      </c>
      <c r="B138" s="281" t="s">
        <v>390</v>
      </c>
      <c r="C138" s="304" t="s">
        <v>88</v>
      </c>
      <c r="D138" s="573" t="s">
        <v>942</v>
      </c>
      <c r="E138" s="800">
        <v>76590</v>
      </c>
      <c r="F138" s="355">
        <f>O138</f>
        <v>69000</v>
      </c>
      <c r="G138" s="355"/>
      <c r="H138" s="800">
        <f t="shared" si="67"/>
        <v>76000</v>
      </c>
      <c r="I138" s="800">
        <v>76000</v>
      </c>
      <c r="J138" s="296"/>
      <c r="K138" s="296"/>
      <c r="L138" s="296"/>
      <c r="M138" s="355">
        <f>1805+44428+22767</f>
        <v>69000</v>
      </c>
      <c r="N138" s="800">
        <f>SUM(O138:R138)</f>
        <v>69000</v>
      </c>
      <c r="O138" s="800">
        <f>M138</f>
        <v>69000</v>
      </c>
      <c r="P138" s="296"/>
      <c r="Q138" s="296"/>
      <c r="R138" s="296"/>
      <c r="S138" s="801" t="s">
        <v>2296</v>
      </c>
    </row>
    <row r="139" spans="1:19" s="746" customFormat="1" ht="63.75" customHeight="1">
      <c r="A139" s="795" t="s">
        <v>391</v>
      </c>
      <c r="B139" s="294" t="s">
        <v>392</v>
      </c>
      <c r="C139" s="375"/>
      <c r="D139" s="296"/>
      <c r="E139" s="377">
        <f t="shared" ref="E139:O141" si="72">E140</f>
        <v>52561</v>
      </c>
      <c r="F139" s="377">
        <f t="shared" si="72"/>
        <v>9611</v>
      </c>
      <c r="G139" s="377"/>
      <c r="H139" s="377">
        <f t="shared" ref="H139:I141" si="73">H140</f>
        <v>9611</v>
      </c>
      <c r="I139" s="377">
        <f t="shared" si="73"/>
        <v>9611</v>
      </c>
      <c r="J139" s="377"/>
      <c r="K139" s="377"/>
      <c r="L139" s="377"/>
      <c r="M139" s="377">
        <f t="shared" si="72"/>
        <v>9611</v>
      </c>
      <c r="N139" s="377">
        <f t="shared" si="72"/>
        <v>9611</v>
      </c>
      <c r="O139" s="377">
        <f t="shared" si="72"/>
        <v>9611</v>
      </c>
      <c r="P139" s="377"/>
      <c r="Q139" s="377"/>
      <c r="R139" s="377"/>
      <c r="S139" s="514"/>
    </row>
    <row r="140" spans="1:19" s="746" customFormat="1" ht="84.75" customHeight="1">
      <c r="A140" s="760" t="s">
        <v>28</v>
      </c>
      <c r="B140" s="761" t="s">
        <v>97</v>
      </c>
      <c r="C140" s="290"/>
      <c r="D140" s="296"/>
      <c r="E140" s="462">
        <f t="shared" si="72"/>
        <v>52561</v>
      </c>
      <c r="F140" s="462">
        <f t="shared" si="72"/>
        <v>9611</v>
      </c>
      <c r="G140" s="462"/>
      <c r="H140" s="462">
        <f t="shared" si="73"/>
        <v>9611</v>
      </c>
      <c r="I140" s="462">
        <f t="shared" si="73"/>
        <v>9611</v>
      </c>
      <c r="J140" s="462"/>
      <c r="K140" s="462"/>
      <c r="L140" s="462"/>
      <c r="M140" s="462">
        <f t="shared" si="72"/>
        <v>9611</v>
      </c>
      <c r="N140" s="462">
        <f t="shared" si="72"/>
        <v>9611</v>
      </c>
      <c r="O140" s="462">
        <f t="shared" si="72"/>
        <v>9611</v>
      </c>
      <c r="P140" s="462"/>
      <c r="Q140" s="462"/>
      <c r="R140" s="462"/>
      <c r="S140" s="514"/>
    </row>
    <row r="141" spans="1:19" s="746" customFormat="1" ht="80.25" customHeight="1">
      <c r="A141" s="763" t="s">
        <v>98</v>
      </c>
      <c r="B141" s="764" t="s">
        <v>99</v>
      </c>
      <c r="C141" s="374"/>
      <c r="D141" s="296"/>
      <c r="E141" s="377">
        <f t="shared" si="72"/>
        <v>52561</v>
      </c>
      <c r="F141" s="377">
        <f t="shared" si="72"/>
        <v>9611</v>
      </c>
      <c r="G141" s="377"/>
      <c r="H141" s="377">
        <f t="shared" si="73"/>
        <v>9611</v>
      </c>
      <c r="I141" s="377">
        <f t="shared" si="73"/>
        <v>9611</v>
      </c>
      <c r="J141" s="377"/>
      <c r="K141" s="377"/>
      <c r="L141" s="377"/>
      <c r="M141" s="377">
        <f t="shared" si="72"/>
        <v>9611</v>
      </c>
      <c r="N141" s="377">
        <f t="shared" si="72"/>
        <v>9611</v>
      </c>
      <c r="O141" s="377">
        <f t="shared" si="72"/>
        <v>9611</v>
      </c>
      <c r="P141" s="377"/>
      <c r="Q141" s="377"/>
      <c r="R141" s="377"/>
      <c r="S141" s="514"/>
    </row>
    <row r="142" spans="1:19" s="746" customFormat="1" ht="58.5" customHeight="1">
      <c r="A142" s="780">
        <v>1</v>
      </c>
      <c r="B142" s="319" t="s">
        <v>393</v>
      </c>
      <c r="C142" s="297" t="s">
        <v>88</v>
      </c>
      <c r="D142" s="381" t="s">
        <v>394</v>
      </c>
      <c r="E142" s="545">
        <v>52561</v>
      </c>
      <c r="F142" s="545">
        <v>9611</v>
      </c>
      <c r="G142" s="545"/>
      <c r="H142" s="309">
        <f>I142+L142</f>
        <v>9611</v>
      </c>
      <c r="I142" s="309">
        <v>9611</v>
      </c>
      <c r="J142" s="309"/>
      <c r="K142" s="309"/>
      <c r="L142" s="309"/>
      <c r="M142" s="329">
        <v>9611</v>
      </c>
      <c r="N142" s="309">
        <f>SUM(O142:R142)</f>
        <v>9611</v>
      </c>
      <c r="O142" s="309">
        <f>I142</f>
        <v>9611</v>
      </c>
      <c r="P142" s="309"/>
      <c r="Q142" s="309"/>
      <c r="R142" s="309"/>
      <c r="S142" s="514"/>
    </row>
    <row r="143" spans="1:19" s="746" customFormat="1" ht="79.5" customHeight="1">
      <c r="A143" s="742" t="s">
        <v>150</v>
      </c>
      <c r="B143" s="292" t="s">
        <v>395</v>
      </c>
      <c r="C143" s="514"/>
      <c r="D143" s="296"/>
      <c r="E143" s="462">
        <f>E144+E149</f>
        <v>501521</v>
      </c>
      <c r="F143" s="462">
        <f t="shared" ref="F143:R143" si="74">F144+F149</f>
        <v>148775</v>
      </c>
      <c r="G143" s="462">
        <f t="shared" si="74"/>
        <v>1872</v>
      </c>
      <c r="H143" s="462">
        <f>H144+H149</f>
        <v>150647</v>
      </c>
      <c r="I143" s="462">
        <f>I144+I149</f>
        <v>148775</v>
      </c>
      <c r="J143" s="462"/>
      <c r="K143" s="462"/>
      <c r="L143" s="462">
        <f>L144+L149</f>
        <v>1872</v>
      </c>
      <c r="M143" s="462">
        <f t="shared" si="74"/>
        <v>117863</v>
      </c>
      <c r="N143" s="462">
        <f t="shared" si="74"/>
        <v>154400</v>
      </c>
      <c r="O143" s="462">
        <f t="shared" si="74"/>
        <v>152528</v>
      </c>
      <c r="P143" s="462"/>
      <c r="Q143" s="462"/>
      <c r="R143" s="462">
        <f t="shared" si="74"/>
        <v>1872</v>
      </c>
      <c r="S143" s="514"/>
    </row>
    <row r="144" spans="1:19" s="746" customFormat="1" ht="93.75" customHeight="1">
      <c r="A144" s="760" t="s">
        <v>28</v>
      </c>
      <c r="B144" s="761" t="s">
        <v>97</v>
      </c>
      <c r="C144" s="290"/>
      <c r="D144" s="296"/>
      <c r="E144" s="462">
        <f>E145</f>
        <v>128535</v>
      </c>
      <c r="F144" s="462">
        <f t="shared" ref="F144:R144" si="75">F145</f>
        <v>26557</v>
      </c>
      <c r="G144" s="462">
        <f t="shared" si="75"/>
        <v>1872</v>
      </c>
      <c r="H144" s="462">
        <f t="shared" si="75"/>
        <v>28429</v>
      </c>
      <c r="I144" s="462">
        <f t="shared" si="75"/>
        <v>26557</v>
      </c>
      <c r="J144" s="462"/>
      <c r="K144" s="462"/>
      <c r="L144" s="462">
        <f t="shared" si="75"/>
        <v>1872</v>
      </c>
      <c r="M144" s="462">
        <f t="shared" si="75"/>
        <v>27842</v>
      </c>
      <c r="N144" s="462">
        <f t="shared" si="75"/>
        <v>28429</v>
      </c>
      <c r="O144" s="462">
        <f t="shared" si="75"/>
        <v>26557</v>
      </c>
      <c r="P144" s="462"/>
      <c r="Q144" s="462"/>
      <c r="R144" s="462">
        <f t="shared" si="75"/>
        <v>1872</v>
      </c>
      <c r="S144" s="514"/>
    </row>
    <row r="145" spans="1:19" s="746" customFormat="1" ht="87" customHeight="1">
      <c r="A145" s="763" t="s">
        <v>98</v>
      </c>
      <c r="B145" s="764" t="s">
        <v>99</v>
      </c>
      <c r="C145" s="374"/>
      <c r="D145" s="296"/>
      <c r="E145" s="758">
        <f>SUM(E146:E148)</f>
        <v>128535</v>
      </c>
      <c r="F145" s="758">
        <f t="shared" ref="F145:R145" si="76">SUM(F146:F148)</f>
        <v>26557</v>
      </c>
      <c r="G145" s="758">
        <f t="shared" ref="G145" si="77">SUM(G146:G148)</f>
        <v>1872</v>
      </c>
      <c r="H145" s="758">
        <f>SUM(H146:H148)</f>
        <v>28429</v>
      </c>
      <c r="I145" s="758">
        <f>SUM(I146:I148)</f>
        <v>26557</v>
      </c>
      <c r="J145" s="758"/>
      <c r="K145" s="758"/>
      <c r="L145" s="758">
        <f>SUM(L146:L148)</f>
        <v>1872</v>
      </c>
      <c r="M145" s="758">
        <f t="shared" si="76"/>
        <v>27842</v>
      </c>
      <c r="N145" s="758">
        <f t="shared" si="76"/>
        <v>28429</v>
      </c>
      <c r="O145" s="758">
        <f t="shared" si="76"/>
        <v>26557</v>
      </c>
      <c r="P145" s="758"/>
      <c r="Q145" s="758"/>
      <c r="R145" s="758">
        <f t="shared" si="76"/>
        <v>1872</v>
      </c>
      <c r="S145" s="514"/>
    </row>
    <row r="146" spans="1:19" s="746" customFormat="1" ht="78" customHeight="1">
      <c r="A146" s="780">
        <v>1</v>
      </c>
      <c r="B146" s="315" t="s">
        <v>396</v>
      </c>
      <c r="C146" s="296" t="s">
        <v>88</v>
      </c>
      <c r="D146" s="766" t="s">
        <v>397</v>
      </c>
      <c r="E146" s="309">
        <v>96000</v>
      </c>
      <c r="F146" s="309">
        <v>9157</v>
      </c>
      <c r="G146" s="309"/>
      <c r="H146" s="309">
        <f>I146+L146</f>
        <v>9157</v>
      </c>
      <c r="I146" s="309">
        <v>9157</v>
      </c>
      <c r="J146" s="758"/>
      <c r="K146" s="758"/>
      <c r="L146" s="758"/>
      <c r="M146" s="355">
        <v>9157</v>
      </c>
      <c r="N146" s="309">
        <f>SUM(O146:R146)</f>
        <v>9157</v>
      </c>
      <c r="O146" s="309">
        <f>I146</f>
        <v>9157</v>
      </c>
      <c r="P146" s="758"/>
      <c r="Q146" s="758"/>
      <c r="R146" s="758"/>
      <c r="S146" s="514"/>
    </row>
    <row r="147" spans="1:19" s="746" customFormat="1" ht="99.75" customHeight="1">
      <c r="A147" s="780">
        <v>2</v>
      </c>
      <c r="B147" s="547" t="s">
        <v>398</v>
      </c>
      <c r="C147" s="381" t="s">
        <v>89</v>
      </c>
      <c r="D147" s="768" t="s">
        <v>399</v>
      </c>
      <c r="E147" s="545">
        <v>20542</v>
      </c>
      <c r="F147" s="545">
        <v>17400</v>
      </c>
      <c r="G147" s="545"/>
      <c r="H147" s="309">
        <f>I147+L147</f>
        <v>17400</v>
      </c>
      <c r="I147" s="309">
        <v>17400</v>
      </c>
      <c r="J147" s="296"/>
      <c r="K147" s="296"/>
      <c r="L147" s="296"/>
      <c r="M147" s="355">
        <f>1000+2000+5000+8813</f>
        <v>16813</v>
      </c>
      <c r="N147" s="309">
        <f>SUM(O147:R147)</f>
        <v>17400</v>
      </c>
      <c r="O147" s="309">
        <f>I147</f>
        <v>17400</v>
      </c>
      <c r="P147" s="296"/>
      <c r="Q147" s="296"/>
      <c r="R147" s="296"/>
      <c r="S147" s="514" t="s">
        <v>1886</v>
      </c>
    </row>
    <row r="148" spans="1:19" s="746" customFormat="1" ht="138.75" customHeight="1">
      <c r="A148" s="780">
        <v>3</v>
      </c>
      <c r="B148" s="319" t="s">
        <v>400</v>
      </c>
      <c r="C148" s="381" t="s">
        <v>88</v>
      </c>
      <c r="D148" s="768" t="s">
        <v>401</v>
      </c>
      <c r="E148" s="545">
        <v>11993</v>
      </c>
      <c r="F148" s="545"/>
      <c r="G148" s="545">
        <f>R148</f>
        <v>1872</v>
      </c>
      <c r="H148" s="309">
        <f>I148+L148</f>
        <v>1872</v>
      </c>
      <c r="I148" s="355"/>
      <c r="J148" s="355"/>
      <c r="K148" s="355"/>
      <c r="L148" s="355">
        <v>1872</v>
      </c>
      <c r="M148" s="355">
        <v>1872</v>
      </c>
      <c r="N148" s="309">
        <f>SUM(O148:R148)</f>
        <v>1872</v>
      </c>
      <c r="O148" s="309"/>
      <c r="P148" s="355"/>
      <c r="Q148" s="355"/>
      <c r="R148" s="355">
        <f>L148</f>
        <v>1872</v>
      </c>
      <c r="S148" s="514"/>
    </row>
    <row r="149" spans="1:19" s="746" customFormat="1" ht="85.5" customHeight="1">
      <c r="A149" s="760" t="s">
        <v>30</v>
      </c>
      <c r="B149" s="761" t="s">
        <v>106</v>
      </c>
      <c r="C149" s="290"/>
      <c r="D149" s="296"/>
      <c r="E149" s="745">
        <f>SUM(E150:E158)</f>
        <v>372986</v>
      </c>
      <c r="F149" s="745">
        <f>SUM(F150:F158)</f>
        <v>122218</v>
      </c>
      <c r="G149" s="745"/>
      <c r="H149" s="745">
        <f>SUM(H150:H158)</f>
        <v>122218</v>
      </c>
      <c r="I149" s="745">
        <f>SUM(I150:I158)</f>
        <v>122218</v>
      </c>
      <c r="J149" s="745"/>
      <c r="K149" s="745"/>
      <c r="L149" s="745"/>
      <c r="M149" s="745">
        <f t="shared" ref="M149:O149" si="78">SUM(M150:M158)</f>
        <v>90021</v>
      </c>
      <c r="N149" s="745">
        <f t="shared" si="78"/>
        <v>125971</v>
      </c>
      <c r="O149" s="745">
        <f t="shared" si="78"/>
        <v>125971</v>
      </c>
      <c r="P149" s="745"/>
      <c r="Q149" s="745"/>
      <c r="R149" s="745"/>
      <c r="S149" s="514"/>
    </row>
    <row r="150" spans="1:19" s="746" customFormat="1" ht="84" customHeight="1">
      <c r="A150" s="780">
        <v>1</v>
      </c>
      <c r="B150" s="547" t="s">
        <v>402</v>
      </c>
      <c r="C150" s="381" t="s">
        <v>89</v>
      </c>
      <c r="D150" s="768" t="s">
        <v>403</v>
      </c>
      <c r="E150" s="355">
        <v>14966</v>
      </c>
      <c r="F150" s="355">
        <v>13828</v>
      </c>
      <c r="G150" s="355"/>
      <c r="H150" s="355">
        <f>I150+L150</f>
        <v>13828</v>
      </c>
      <c r="I150" s="355">
        <v>13828</v>
      </c>
      <c r="J150" s="355"/>
      <c r="K150" s="355"/>
      <c r="L150" s="355"/>
      <c r="M150" s="355">
        <f>6824+7004</f>
        <v>13828</v>
      </c>
      <c r="N150" s="355">
        <f>SUM(O150:R150)</f>
        <v>13828</v>
      </c>
      <c r="O150" s="355">
        <f>I150</f>
        <v>13828</v>
      </c>
      <c r="P150" s="355"/>
      <c r="Q150" s="355"/>
      <c r="R150" s="355"/>
      <c r="S150" s="514"/>
    </row>
    <row r="151" spans="1:19" s="746" customFormat="1" ht="84" customHeight="1">
      <c r="A151" s="780">
        <v>2</v>
      </c>
      <c r="B151" s="793" t="s">
        <v>2220</v>
      </c>
      <c r="C151" s="381"/>
      <c r="D151" s="297" t="s">
        <v>2221</v>
      </c>
      <c r="E151" s="329">
        <v>110000</v>
      </c>
      <c r="F151" s="355"/>
      <c r="G151" s="355"/>
      <c r="H151" s="355"/>
      <c r="I151" s="355"/>
      <c r="J151" s="355"/>
      <c r="K151" s="355"/>
      <c r="L151" s="355"/>
      <c r="M151" s="355"/>
      <c r="N151" s="355">
        <f>O151+R151</f>
        <v>5000</v>
      </c>
      <c r="O151" s="329">
        <v>5000</v>
      </c>
      <c r="P151" s="355"/>
      <c r="Q151" s="355"/>
      <c r="R151" s="355"/>
      <c r="S151" s="794" t="s">
        <v>2222</v>
      </c>
    </row>
    <row r="152" spans="1:19" s="746" customFormat="1" ht="111.75" customHeight="1">
      <c r="A152" s="780">
        <v>3</v>
      </c>
      <c r="B152" s="793" t="s">
        <v>404</v>
      </c>
      <c r="C152" s="296" t="s">
        <v>89</v>
      </c>
      <c r="D152" s="297" t="s">
        <v>1151</v>
      </c>
      <c r="E152" s="329">
        <v>13775</v>
      </c>
      <c r="F152" s="355">
        <v>13770</v>
      </c>
      <c r="G152" s="355"/>
      <c r="H152" s="355">
        <f>I152+L152</f>
        <v>13770</v>
      </c>
      <c r="I152" s="355">
        <v>13770</v>
      </c>
      <c r="J152" s="296"/>
      <c r="K152" s="296"/>
      <c r="L152" s="296"/>
      <c r="M152" s="355">
        <f>4000+9770</f>
        <v>13770</v>
      </c>
      <c r="N152" s="355">
        <f t="shared" ref="N152:N158" si="79">SUM(O152:R152)</f>
        <v>13770</v>
      </c>
      <c r="O152" s="355">
        <f>I152</f>
        <v>13770</v>
      </c>
      <c r="P152" s="296"/>
      <c r="Q152" s="296"/>
      <c r="R152" s="296"/>
      <c r="S152" s="802"/>
    </row>
    <row r="153" spans="1:19" s="746" customFormat="1" ht="95.25" customHeight="1">
      <c r="A153" s="780">
        <v>4</v>
      </c>
      <c r="B153" s="547" t="s">
        <v>405</v>
      </c>
      <c r="C153" s="381" t="s">
        <v>89</v>
      </c>
      <c r="D153" s="768" t="s">
        <v>406</v>
      </c>
      <c r="E153" s="355">
        <v>9900</v>
      </c>
      <c r="F153" s="355">
        <v>9620</v>
      </c>
      <c r="G153" s="355"/>
      <c r="H153" s="355">
        <f t="shared" ref="H153:H154" si="80">I153+L153</f>
        <v>9620</v>
      </c>
      <c r="I153" s="355">
        <v>9620</v>
      </c>
      <c r="J153" s="296"/>
      <c r="K153" s="296"/>
      <c r="L153" s="296"/>
      <c r="M153" s="355">
        <f>2500+6568+1500-948</f>
        <v>9620</v>
      </c>
      <c r="N153" s="355">
        <f t="shared" si="79"/>
        <v>9620</v>
      </c>
      <c r="O153" s="355">
        <f>I153</f>
        <v>9620</v>
      </c>
      <c r="P153" s="296"/>
      <c r="Q153" s="296"/>
      <c r="R153" s="296"/>
      <c r="S153" s="514"/>
    </row>
    <row r="154" spans="1:19" s="746" customFormat="1" ht="95.25" customHeight="1">
      <c r="A154" s="780">
        <v>5</v>
      </c>
      <c r="B154" s="793" t="s">
        <v>407</v>
      </c>
      <c r="C154" s="381" t="s">
        <v>88</v>
      </c>
      <c r="D154" s="296" t="s">
        <v>951</v>
      </c>
      <c r="E154" s="329">
        <v>89983</v>
      </c>
      <c r="F154" s="329">
        <f>O154</f>
        <v>20000</v>
      </c>
      <c r="G154" s="329"/>
      <c r="H154" s="355">
        <f t="shared" si="80"/>
        <v>20000</v>
      </c>
      <c r="I154" s="355">
        <v>20000</v>
      </c>
      <c r="J154" s="296"/>
      <c r="K154" s="296"/>
      <c r="L154" s="355"/>
      <c r="M154" s="545">
        <f>50+4000</f>
        <v>4050</v>
      </c>
      <c r="N154" s="545">
        <f t="shared" si="79"/>
        <v>20000</v>
      </c>
      <c r="O154" s="355">
        <f>I154</f>
        <v>20000</v>
      </c>
      <c r="P154" s="296"/>
      <c r="Q154" s="296"/>
      <c r="R154" s="355"/>
      <c r="S154" s="776" t="s">
        <v>1836</v>
      </c>
    </row>
    <row r="155" spans="1:19" s="746" customFormat="1" ht="85.5" customHeight="1">
      <c r="A155" s="780">
        <v>7</v>
      </c>
      <c r="B155" s="767" t="s">
        <v>408</v>
      </c>
      <c r="C155" s="381" t="s">
        <v>88</v>
      </c>
      <c r="D155" s="297" t="s">
        <v>409</v>
      </c>
      <c r="E155" s="803">
        <v>12362</v>
      </c>
      <c r="F155" s="803">
        <v>5000</v>
      </c>
      <c r="G155" s="803"/>
      <c r="H155" s="355">
        <f t="shared" ref="H155:H158" si="81">I155+L155</f>
        <v>5000</v>
      </c>
      <c r="I155" s="355">
        <v>5000</v>
      </c>
      <c r="J155" s="296"/>
      <c r="K155" s="296"/>
      <c r="L155" s="296"/>
      <c r="M155" s="355">
        <f>5000</f>
        <v>5000</v>
      </c>
      <c r="N155" s="355">
        <f t="shared" si="79"/>
        <v>5000</v>
      </c>
      <c r="O155" s="355">
        <f>I155</f>
        <v>5000</v>
      </c>
      <c r="P155" s="296"/>
      <c r="Q155" s="296"/>
      <c r="R155" s="296"/>
      <c r="S155" s="514"/>
    </row>
    <row r="156" spans="1:19" s="746" customFormat="1" ht="99" customHeight="1">
      <c r="A156" s="780">
        <v>8</v>
      </c>
      <c r="B156" s="767" t="s">
        <v>410</v>
      </c>
      <c r="C156" s="381" t="s">
        <v>89</v>
      </c>
      <c r="D156" s="297" t="s">
        <v>411</v>
      </c>
      <c r="E156" s="803">
        <v>40000</v>
      </c>
      <c r="F156" s="803">
        <v>40000</v>
      </c>
      <c r="G156" s="803"/>
      <c r="H156" s="355">
        <f t="shared" si="81"/>
        <v>40000</v>
      </c>
      <c r="I156" s="355">
        <v>40000</v>
      </c>
      <c r="J156" s="296"/>
      <c r="K156" s="296"/>
      <c r="L156" s="296"/>
      <c r="M156" s="355">
        <f>1492+5000+27261</f>
        <v>33753</v>
      </c>
      <c r="N156" s="355">
        <f t="shared" si="79"/>
        <v>33753</v>
      </c>
      <c r="O156" s="355">
        <f>M156</f>
        <v>33753</v>
      </c>
      <c r="P156" s="296"/>
      <c r="Q156" s="296"/>
      <c r="R156" s="296"/>
      <c r="S156" s="514"/>
    </row>
    <row r="157" spans="1:19" s="746" customFormat="1" ht="99" customHeight="1">
      <c r="A157" s="780">
        <v>9</v>
      </c>
      <c r="B157" s="471" t="s">
        <v>2292</v>
      </c>
      <c r="C157" s="381" t="s">
        <v>89</v>
      </c>
      <c r="D157" s="297"/>
      <c r="E157" s="803">
        <v>30000</v>
      </c>
      <c r="F157" s="803"/>
      <c r="G157" s="803"/>
      <c r="H157" s="355"/>
      <c r="I157" s="355"/>
      <c r="J157" s="296"/>
      <c r="K157" s="296"/>
      <c r="L157" s="296"/>
      <c r="M157" s="355"/>
      <c r="N157" s="355">
        <f>SUM(O157:R157)</f>
        <v>5000</v>
      </c>
      <c r="O157" s="355">
        <v>5000</v>
      </c>
      <c r="P157" s="296"/>
      <c r="Q157" s="296"/>
      <c r="R157" s="296"/>
      <c r="S157" s="514"/>
    </row>
    <row r="158" spans="1:19" s="746" customFormat="1" ht="102.75" customHeight="1">
      <c r="A158" s="780">
        <v>10</v>
      </c>
      <c r="B158" s="793" t="s">
        <v>412</v>
      </c>
      <c r="C158" s="381" t="s">
        <v>88</v>
      </c>
      <c r="D158" s="297" t="s">
        <v>943</v>
      </c>
      <c r="E158" s="329">
        <v>52000</v>
      </c>
      <c r="F158" s="329">
        <f>O158</f>
        <v>20000</v>
      </c>
      <c r="G158" s="329"/>
      <c r="H158" s="355">
        <f t="shared" si="81"/>
        <v>20000</v>
      </c>
      <c r="I158" s="355">
        <v>20000</v>
      </c>
      <c r="J158" s="296"/>
      <c r="K158" s="296"/>
      <c r="L158" s="355"/>
      <c r="M158" s="355">
        <v>10000</v>
      </c>
      <c r="N158" s="355">
        <f t="shared" si="79"/>
        <v>20000</v>
      </c>
      <c r="O158" s="355">
        <f>I158</f>
        <v>20000</v>
      </c>
      <c r="P158" s="296"/>
      <c r="Q158" s="296"/>
      <c r="R158" s="355"/>
      <c r="S158" s="776" t="s">
        <v>1836</v>
      </c>
    </row>
    <row r="159" spans="1:19" s="746" customFormat="1" ht="93.75" customHeight="1">
      <c r="A159" s="742" t="s">
        <v>165</v>
      </c>
      <c r="B159" s="292" t="s">
        <v>413</v>
      </c>
      <c r="C159" s="514"/>
      <c r="D159" s="296"/>
      <c r="E159" s="462">
        <f>E160+E163</f>
        <v>209826</v>
      </c>
      <c r="F159" s="462">
        <f t="shared" ref="F159:O159" si="82">F160+F163</f>
        <v>135032</v>
      </c>
      <c r="G159" s="462"/>
      <c r="H159" s="462">
        <f>H160+H163</f>
        <v>205032</v>
      </c>
      <c r="I159" s="462">
        <f>I160+I163</f>
        <v>205032</v>
      </c>
      <c r="J159" s="462"/>
      <c r="K159" s="462"/>
      <c r="L159" s="462"/>
      <c r="M159" s="462">
        <f t="shared" si="82"/>
        <v>68532</v>
      </c>
      <c r="N159" s="462">
        <f t="shared" si="82"/>
        <v>135032</v>
      </c>
      <c r="O159" s="462">
        <f t="shared" si="82"/>
        <v>135032</v>
      </c>
      <c r="P159" s="462"/>
      <c r="Q159" s="462"/>
      <c r="R159" s="462"/>
      <c r="S159" s="514"/>
    </row>
    <row r="160" spans="1:19" s="746" customFormat="1" ht="96.75" customHeight="1">
      <c r="A160" s="760" t="s">
        <v>28</v>
      </c>
      <c r="B160" s="761" t="s">
        <v>97</v>
      </c>
      <c r="C160" s="290"/>
      <c r="D160" s="296"/>
      <c r="E160" s="745">
        <f>E161</f>
        <v>20000</v>
      </c>
      <c r="F160" s="745">
        <f t="shared" ref="F160:O160" si="83">F161</f>
        <v>15206</v>
      </c>
      <c r="G160" s="745"/>
      <c r="H160" s="745">
        <f>H161</f>
        <v>15206</v>
      </c>
      <c r="I160" s="745">
        <f>I161</f>
        <v>15206</v>
      </c>
      <c r="J160" s="745"/>
      <c r="K160" s="745"/>
      <c r="L160" s="745"/>
      <c r="M160" s="745">
        <f t="shared" si="83"/>
        <v>15206</v>
      </c>
      <c r="N160" s="745">
        <f t="shared" si="83"/>
        <v>15206</v>
      </c>
      <c r="O160" s="745">
        <f t="shared" si="83"/>
        <v>15206</v>
      </c>
      <c r="P160" s="745"/>
      <c r="Q160" s="745"/>
      <c r="R160" s="745"/>
      <c r="S160" s="514"/>
    </row>
    <row r="161" spans="1:19" s="746" customFormat="1" ht="100.5" customHeight="1">
      <c r="A161" s="763" t="s">
        <v>98</v>
      </c>
      <c r="B161" s="764" t="s">
        <v>99</v>
      </c>
      <c r="C161" s="374"/>
      <c r="D161" s="766"/>
      <c r="E161" s="804">
        <f>SUM(E162)</f>
        <v>20000</v>
      </c>
      <c r="F161" s="804">
        <f t="shared" ref="F161:O161" si="84">SUM(F162)</f>
        <v>15206</v>
      </c>
      <c r="G161" s="804"/>
      <c r="H161" s="804">
        <f>SUM(H162)</f>
        <v>15206</v>
      </c>
      <c r="I161" s="804">
        <f>SUM(I162)</f>
        <v>15206</v>
      </c>
      <c r="J161" s="804"/>
      <c r="K161" s="804"/>
      <c r="L161" s="804"/>
      <c r="M161" s="804">
        <f t="shared" si="84"/>
        <v>15206</v>
      </c>
      <c r="N161" s="804">
        <f t="shared" si="84"/>
        <v>15206</v>
      </c>
      <c r="O161" s="804">
        <f t="shared" si="84"/>
        <v>15206</v>
      </c>
      <c r="P161" s="804"/>
      <c r="Q161" s="804"/>
      <c r="R161" s="804"/>
      <c r="S161" s="514"/>
    </row>
    <row r="162" spans="1:19" s="746" customFormat="1" ht="79.5" customHeight="1">
      <c r="A162" s="780">
        <v>1</v>
      </c>
      <c r="B162" s="777" t="s">
        <v>414</v>
      </c>
      <c r="C162" s="771" t="s">
        <v>89</v>
      </c>
      <c r="D162" s="766" t="s">
        <v>415</v>
      </c>
      <c r="E162" s="545">
        <v>20000</v>
      </c>
      <c r="F162" s="545">
        <v>15206</v>
      </c>
      <c r="G162" s="545"/>
      <c r="H162" s="309">
        <f>I162+L162</f>
        <v>15206</v>
      </c>
      <c r="I162" s="309">
        <v>15206</v>
      </c>
      <c r="J162" s="296"/>
      <c r="K162" s="296"/>
      <c r="L162" s="296"/>
      <c r="M162" s="355">
        <f>9996+5210</f>
        <v>15206</v>
      </c>
      <c r="N162" s="309">
        <f>SUM(O162:R162)</f>
        <v>15206</v>
      </c>
      <c r="O162" s="309">
        <f>I162</f>
        <v>15206</v>
      </c>
      <c r="P162" s="296"/>
      <c r="Q162" s="296"/>
      <c r="R162" s="296"/>
      <c r="S162" s="514"/>
    </row>
    <row r="163" spans="1:19" s="746" customFormat="1" ht="77.25" customHeight="1">
      <c r="A163" s="760" t="s">
        <v>30</v>
      </c>
      <c r="B163" s="761" t="s">
        <v>106</v>
      </c>
      <c r="C163" s="290"/>
      <c r="D163" s="296"/>
      <c r="E163" s="745">
        <f>SUM(E164:E167)</f>
        <v>189826</v>
      </c>
      <c r="F163" s="745">
        <f t="shared" ref="F163:O163" si="85">SUM(F164:F167)</f>
        <v>119826</v>
      </c>
      <c r="G163" s="745"/>
      <c r="H163" s="745">
        <f>SUM(H164:H167)</f>
        <v>189826</v>
      </c>
      <c r="I163" s="745">
        <f>SUM(I164:I167)</f>
        <v>189826</v>
      </c>
      <c r="J163" s="745"/>
      <c r="K163" s="745"/>
      <c r="L163" s="745"/>
      <c r="M163" s="745">
        <f t="shared" si="85"/>
        <v>53326</v>
      </c>
      <c r="N163" s="745">
        <f t="shared" si="85"/>
        <v>119826</v>
      </c>
      <c r="O163" s="745">
        <f t="shared" si="85"/>
        <v>119826</v>
      </c>
      <c r="P163" s="745"/>
      <c r="Q163" s="745"/>
      <c r="R163" s="745"/>
      <c r="S163" s="514"/>
    </row>
    <row r="164" spans="1:19" s="746" customFormat="1" ht="80.25" customHeight="1">
      <c r="A164" s="780">
        <v>1</v>
      </c>
      <c r="B164" s="777" t="s">
        <v>416</v>
      </c>
      <c r="C164" s="771" t="s">
        <v>89</v>
      </c>
      <c r="D164" s="766" t="s">
        <v>417</v>
      </c>
      <c r="E164" s="309">
        <f>F164</f>
        <v>21515</v>
      </c>
      <c r="F164" s="309">
        <v>21515</v>
      </c>
      <c r="G164" s="309"/>
      <c r="H164" s="309">
        <f>I164+L164</f>
        <v>21515</v>
      </c>
      <c r="I164" s="309">
        <v>21515</v>
      </c>
      <c r="J164" s="296"/>
      <c r="K164" s="296"/>
      <c r="L164" s="296"/>
      <c r="M164" s="355">
        <f>7689+13826</f>
        <v>21515</v>
      </c>
      <c r="N164" s="309">
        <f>SUM(O164:R164)</f>
        <v>21515</v>
      </c>
      <c r="O164" s="309">
        <f>I164</f>
        <v>21515</v>
      </c>
      <c r="P164" s="296"/>
      <c r="Q164" s="296"/>
      <c r="R164" s="296"/>
      <c r="S164" s="514"/>
    </row>
    <row r="165" spans="1:19" s="746" customFormat="1" ht="80.25" customHeight="1">
      <c r="A165" s="780">
        <v>2</v>
      </c>
      <c r="B165" s="777" t="s">
        <v>418</v>
      </c>
      <c r="C165" s="771" t="s">
        <v>89</v>
      </c>
      <c r="D165" s="766" t="s">
        <v>419</v>
      </c>
      <c r="E165" s="309">
        <v>311</v>
      </c>
      <c r="F165" s="309">
        <v>311</v>
      </c>
      <c r="G165" s="309"/>
      <c r="H165" s="309">
        <f>I165+L165</f>
        <v>311</v>
      </c>
      <c r="I165" s="309">
        <v>311</v>
      </c>
      <c r="J165" s="296"/>
      <c r="K165" s="296"/>
      <c r="L165" s="296"/>
      <c r="M165" s="355">
        <f>311</f>
        <v>311</v>
      </c>
      <c r="N165" s="309">
        <f>SUM(O165:R165)</f>
        <v>311</v>
      </c>
      <c r="O165" s="309">
        <f>I165</f>
        <v>311</v>
      </c>
      <c r="P165" s="296"/>
      <c r="Q165" s="296"/>
      <c r="R165" s="296"/>
      <c r="S165" s="776"/>
    </row>
    <row r="166" spans="1:19" s="746" customFormat="1" ht="160.5" customHeight="1">
      <c r="A166" s="780">
        <v>3</v>
      </c>
      <c r="B166" s="777" t="s">
        <v>964</v>
      </c>
      <c r="C166" s="771" t="s">
        <v>89</v>
      </c>
      <c r="D166" s="766"/>
      <c r="E166" s="309">
        <v>18000</v>
      </c>
      <c r="F166" s="309">
        <v>18000</v>
      </c>
      <c r="G166" s="309"/>
      <c r="H166" s="309">
        <f>I166+L166</f>
        <v>18000</v>
      </c>
      <c r="I166" s="309">
        <v>18000</v>
      </c>
      <c r="J166" s="296"/>
      <c r="K166" s="296"/>
      <c r="L166" s="296"/>
      <c r="M166" s="545">
        <f>8000+1692</f>
        <v>9692</v>
      </c>
      <c r="N166" s="309">
        <f>SUM(O166:R166)</f>
        <v>18000</v>
      </c>
      <c r="O166" s="309">
        <f>I166</f>
        <v>18000</v>
      </c>
      <c r="P166" s="296"/>
      <c r="Q166" s="296"/>
      <c r="R166" s="296"/>
      <c r="S166" s="776" t="s">
        <v>1893</v>
      </c>
    </row>
    <row r="167" spans="1:19" s="746" customFormat="1" ht="117" customHeight="1">
      <c r="A167" s="780">
        <v>4</v>
      </c>
      <c r="B167" s="371" t="s">
        <v>944</v>
      </c>
      <c r="C167" s="771" t="s">
        <v>88</v>
      </c>
      <c r="D167" s="296" t="s">
        <v>1170</v>
      </c>
      <c r="E167" s="309">
        <v>150000</v>
      </c>
      <c r="F167" s="309">
        <f>O167</f>
        <v>80000</v>
      </c>
      <c r="G167" s="309"/>
      <c r="H167" s="309">
        <f>I167+L167</f>
        <v>150000</v>
      </c>
      <c r="I167" s="309">
        <v>150000</v>
      </c>
      <c r="J167" s="296"/>
      <c r="K167" s="296"/>
      <c r="L167" s="309"/>
      <c r="M167" s="329">
        <v>21808</v>
      </c>
      <c r="N167" s="309">
        <f>SUM(N168:N177)</f>
        <v>80000</v>
      </c>
      <c r="O167" s="309">
        <f t="shared" ref="O167" si="86">SUM(O168:O177)</f>
        <v>80000</v>
      </c>
      <c r="P167" s="309"/>
      <c r="Q167" s="309"/>
      <c r="R167" s="309"/>
      <c r="S167" s="776"/>
    </row>
    <row r="168" spans="1:19" s="288" customFormat="1" ht="120.75" customHeight="1">
      <c r="A168" s="750">
        <v>4.0999999999999996</v>
      </c>
      <c r="B168" s="805" t="s">
        <v>1154</v>
      </c>
      <c r="C168" s="806" t="s">
        <v>89</v>
      </c>
      <c r="D168" s="807"/>
      <c r="E168" s="394">
        <v>40000</v>
      </c>
      <c r="F168" s="394">
        <v>40000</v>
      </c>
      <c r="G168" s="394"/>
      <c r="H168" s="394">
        <v>40000</v>
      </c>
      <c r="I168" s="394">
        <v>40000</v>
      </c>
      <c r="J168" s="738"/>
      <c r="K168" s="738"/>
      <c r="L168" s="394"/>
      <c r="M168" s="799"/>
      <c r="N168" s="394"/>
      <c r="O168" s="394"/>
      <c r="P168" s="738"/>
      <c r="Q168" s="738"/>
      <c r="R168" s="394"/>
      <c r="S168" s="776" t="s">
        <v>2307</v>
      </c>
    </row>
    <row r="169" spans="1:19" s="288" customFormat="1" ht="78" customHeight="1">
      <c r="A169" s="750">
        <v>4.2</v>
      </c>
      <c r="B169" s="805" t="s">
        <v>1155</v>
      </c>
      <c r="C169" s="806" t="s">
        <v>89</v>
      </c>
      <c r="D169" s="738"/>
      <c r="E169" s="394">
        <v>12000</v>
      </c>
      <c r="F169" s="394">
        <v>12000</v>
      </c>
      <c r="G169" s="394"/>
      <c r="H169" s="394">
        <v>12000</v>
      </c>
      <c r="I169" s="394">
        <v>12000</v>
      </c>
      <c r="J169" s="738"/>
      <c r="K169" s="738"/>
      <c r="L169" s="394"/>
      <c r="M169" s="799"/>
      <c r="N169" s="394"/>
      <c r="O169" s="394"/>
      <c r="P169" s="738"/>
      <c r="Q169" s="738"/>
      <c r="R169" s="394"/>
      <c r="S169" s="776" t="s">
        <v>2307</v>
      </c>
    </row>
    <row r="170" spans="1:19" s="288" customFormat="1" ht="86.25" customHeight="1">
      <c r="A170" s="750">
        <v>4.3</v>
      </c>
      <c r="B170" s="805" t="s">
        <v>1157</v>
      </c>
      <c r="C170" s="806" t="s">
        <v>89</v>
      </c>
      <c r="D170" s="807" t="s">
        <v>1156</v>
      </c>
      <c r="E170" s="394">
        <v>30000</v>
      </c>
      <c r="F170" s="394">
        <v>30000</v>
      </c>
      <c r="G170" s="394"/>
      <c r="H170" s="394">
        <v>30000</v>
      </c>
      <c r="I170" s="394">
        <v>30000</v>
      </c>
      <c r="J170" s="738"/>
      <c r="K170" s="738"/>
      <c r="L170" s="394"/>
      <c r="M170" s="799"/>
      <c r="N170" s="394">
        <f t="shared" ref="N170" si="87">SUM(O170:R170)</f>
        <v>30000</v>
      </c>
      <c r="O170" s="394">
        <f t="shared" ref="O170" si="88">I170</f>
        <v>30000</v>
      </c>
      <c r="P170" s="738"/>
      <c r="Q170" s="738"/>
      <c r="R170" s="394"/>
      <c r="S170" s="776"/>
    </row>
    <row r="171" spans="1:19" s="288" customFormat="1" ht="122.25" customHeight="1">
      <c r="A171" s="750">
        <v>4.4000000000000004</v>
      </c>
      <c r="B171" s="805" t="s">
        <v>1158</v>
      </c>
      <c r="C171" s="806" t="s">
        <v>89</v>
      </c>
      <c r="D171" s="807" t="s">
        <v>1160</v>
      </c>
      <c r="E171" s="394">
        <v>18000</v>
      </c>
      <c r="F171" s="394">
        <v>18000</v>
      </c>
      <c r="G171" s="394"/>
      <c r="H171" s="394">
        <v>18000</v>
      </c>
      <c r="I171" s="394">
        <v>18000</v>
      </c>
      <c r="J171" s="738"/>
      <c r="K171" s="738"/>
      <c r="L171" s="394"/>
      <c r="M171" s="799"/>
      <c r="N171" s="394"/>
      <c r="O171" s="394"/>
      <c r="P171" s="738"/>
      <c r="Q171" s="738"/>
      <c r="R171" s="394"/>
      <c r="S171" s="298" t="s">
        <v>2272</v>
      </c>
    </row>
    <row r="172" spans="1:19" s="288" customFormat="1" ht="68.25" customHeight="1">
      <c r="A172" s="750">
        <v>4.5</v>
      </c>
      <c r="B172" s="805" t="s">
        <v>1159</v>
      </c>
      <c r="C172" s="806" t="s">
        <v>89</v>
      </c>
      <c r="D172" s="807" t="s">
        <v>1161</v>
      </c>
      <c r="E172" s="394">
        <v>6000</v>
      </c>
      <c r="F172" s="394">
        <v>6000</v>
      </c>
      <c r="G172" s="394"/>
      <c r="H172" s="394">
        <v>6000</v>
      </c>
      <c r="I172" s="394">
        <v>6000</v>
      </c>
      <c r="J172" s="738"/>
      <c r="K172" s="738"/>
      <c r="L172" s="394"/>
      <c r="M172" s="799"/>
      <c r="N172" s="394">
        <f>SUM(O172:R172)</f>
        <v>6000</v>
      </c>
      <c r="O172" s="394">
        <f>I172</f>
        <v>6000</v>
      </c>
      <c r="P172" s="738"/>
      <c r="Q172" s="738"/>
      <c r="R172" s="394"/>
      <c r="S172" s="776"/>
    </row>
    <row r="173" spans="1:19" s="288" customFormat="1" ht="81" customHeight="1">
      <c r="A173" s="750">
        <v>4.5999999999999996</v>
      </c>
      <c r="B173" s="805" t="s">
        <v>1162</v>
      </c>
      <c r="C173" s="806" t="s">
        <v>89</v>
      </c>
      <c r="D173" s="738"/>
      <c r="E173" s="394">
        <v>10000</v>
      </c>
      <c r="F173" s="394">
        <v>10000</v>
      </c>
      <c r="G173" s="394"/>
      <c r="H173" s="394">
        <v>10000</v>
      </c>
      <c r="I173" s="394">
        <v>10000</v>
      </c>
      <c r="J173" s="738"/>
      <c r="K173" s="738"/>
      <c r="L173" s="394"/>
      <c r="M173" s="799"/>
      <c r="N173" s="394">
        <f t="shared" ref="N173:N177" si="89">SUM(O173:R173)</f>
        <v>10000</v>
      </c>
      <c r="O173" s="394">
        <f t="shared" ref="O173:O177" si="90">I173</f>
        <v>10000</v>
      </c>
      <c r="P173" s="738"/>
      <c r="Q173" s="738"/>
      <c r="R173" s="394"/>
      <c r="S173" s="776"/>
    </row>
    <row r="174" spans="1:19" s="288" customFormat="1" ht="70.5" customHeight="1">
      <c r="A174" s="750">
        <v>4.7</v>
      </c>
      <c r="B174" s="805" t="s">
        <v>1163</v>
      </c>
      <c r="C174" s="806" t="s">
        <v>89</v>
      </c>
      <c r="D174" s="807" t="s">
        <v>1164</v>
      </c>
      <c r="E174" s="394">
        <v>2000</v>
      </c>
      <c r="F174" s="394">
        <v>2000</v>
      </c>
      <c r="G174" s="394"/>
      <c r="H174" s="394">
        <v>2000</v>
      </c>
      <c r="I174" s="394">
        <v>2000</v>
      </c>
      <c r="J174" s="738"/>
      <c r="K174" s="738"/>
      <c r="L174" s="394"/>
      <c r="M174" s="799"/>
      <c r="N174" s="394">
        <f t="shared" si="89"/>
        <v>2000</v>
      </c>
      <c r="O174" s="394">
        <f t="shared" si="90"/>
        <v>2000</v>
      </c>
      <c r="P174" s="738"/>
      <c r="Q174" s="738"/>
      <c r="R174" s="394"/>
      <c r="S174" s="776"/>
    </row>
    <row r="175" spans="1:19" s="288" customFormat="1" ht="78" customHeight="1">
      <c r="A175" s="750">
        <v>4.8</v>
      </c>
      <c r="B175" s="805" t="s">
        <v>1165</v>
      </c>
      <c r="C175" s="806" t="s">
        <v>89</v>
      </c>
      <c r="D175" s="807" t="s">
        <v>1166</v>
      </c>
      <c r="E175" s="394">
        <v>6000</v>
      </c>
      <c r="F175" s="394">
        <v>6000</v>
      </c>
      <c r="G175" s="394"/>
      <c r="H175" s="394">
        <v>6000</v>
      </c>
      <c r="I175" s="394">
        <v>6000</v>
      </c>
      <c r="J175" s="738"/>
      <c r="K175" s="738"/>
      <c r="L175" s="394"/>
      <c r="M175" s="799"/>
      <c r="N175" s="394">
        <f t="shared" si="89"/>
        <v>6000</v>
      </c>
      <c r="O175" s="394">
        <f t="shared" si="90"/>
        <v>6000</v>
      </c>
      <c r="P175" s="738"/>
      <c r="Q175" s="738"/>
      <c r="R175" s="394"/>
      <c r="S175" s="776"/>
    </row>
    <row r="176" spans="1:19" s="288" customFormat="1" ht="84" customHeight="1">
      <c r="A176" s="750">
        <v>4.9000000000000004</v>
      </c>
      <c r="B176" s="805" t="s">
        <v>1167</v>
      </c>
      <c r="C176" s="806" t="s">
        <v>89</v>
      </c>
      <c r="D176" s="738"/>
      <c r="E176" s="394">
        <v>6000</v>
      </c>
      <c r="F176" s="394">
        <v>6000</v>
      </c>
      <c r="G176" s="394"/>
      <c r="H176" s="394">
        <v>6000</v>
      </c>
      <c r="I176" s="394">
        <v>6000</v>
      </c>
      <c r="J176" s="738"/>
      <c r="K176" s="738"/>
      <c r="L176" s="394"/>
      <c r="M176" s="799"/>
      <c r="N176" s="394">
        <f t="shared" si="89"/>
        <v>6000</v>
      </c>
      <c r="O176" s="394">
        <f t="shared" si="90"/>
        <v>6000</v>
      </c>
      <c r="P176" s="738"/>
      <c r="Q176" s="738"/>
      <c r="R176" s="394"/>
      <c r="S176" s="776"/>
    </row>
    <row r="177" spans="1:19" s="288" customFormat="1" ht="65.25" customHeight="1">
      <c r="A177" s="808" t="s">
        <v>1171</v>
      </c>
      <c r="B177" s="805" t="s">
        <v>1168</v>
      </c>
      <c r="C177" s="806" t="s">
        <v>89</v>
      </c>
      <c r="D177" s="807" t="s">
        <v>1169</v>
      </c>
      <c r="E177" s="394">
        <v>20000</v>
      </c>
      <c r="F177" s="394">
        <v>20000</v>
      </c>
      <c r="G177" s="394"/>
      <c r="H177" s="394">
        <v>20000</v>
      </c>
      <c r="I177" s="394">
        <v>20000</v>
      </c>
      <c r="J177" s="738"/>
      <c r="K177" s="738"/>
      <c r="L177" s="394"/>
      <c r="M177" s="799"/>
      <c r="N177" s="394">
        <f t="shared" si="89"/>
        <v>20000</v>
      </c>
      <c r="O177" s="394">
        <f t="shared" si="90"/>
        <v>20000</v>
      </c>
      <c r="P177" s="738"/>
      <c r="Q177" s="738"/>
      <c r="R177" s="394"/>
      <c r="S177" s="776"/>
    </row>
    <row r="178" spans="1:19" s="746" customFormat="1" ht="182.25" customHeight="1">
      <c r="A178" s="742" t="s">
        <v>167</v>
      </c>
      <c r="B178" s="292" t="s">
        <v>420</v>
      </c>
      <c r="C178" s="514"/>
      <c r="D178" s="296"/>
      <c r="E178" s="462">
        <f t="shared" ref="E178:R178" si="91">E179+E214</f>
        <v>3860603</v>
      </c>
      <c r="F178" s="462">
        <f t="shared" si="91"/>
        <v>2163795</v>
      </c>
      <c r="G178" s="462"/>
      <c r="H178" s="462">
        <f>H179+H214</f>
        <v>2313822</v>
      </c>
      <c r="I178" s="462">
        <f>I179+I214</f>
        <v>2313822</v>
      </c>
      <c r="J178" s="462"/>
      <c r="K178" s="462"/>
      <c r="L178" s="462"/>
      <c r="M178" s="462">
        <f t="shared" si="91"/>
        <v>376518</v>
      </c>
      <c r="N178" s="462">
        <f t="shared" si="91"/>
        <v>2273224</v>
      </c>
      <c r="O178" s="462">
        <f t="shared" si="91"/>
        <v>2268471</v>
      </c>
      <c r="P178" s="462"/>
      <c r="Q178" s="462"/>
      <c r="R178" s="462">
        <f t="shared" si="91"/>
        <v>4753</v>
      </c>
      <c r="S178" s="514" t="s">
        <v>1891</v>
      </c>
    </row>
    <row r="179" spans="1:19" s="746" customFormat="1" ht="80.25" customHeight="1">
      <c r="A179" s="760" t="s">
        <v>28</v>
      </c>
      <c r="B179" s="761" t="s">
        <v>97</v>
      </c>
      <c r="C179" s="290"/>
      <c r="D179" s="296"/>
      <c r="E179" s="745">
        <f>E180</f>
        <v>2612248</v>
      </c>
      <c r="F179" s="745">
        <f t="shared" ref="F179:O179" si="92">F180</f>
        <v>1987203</v>
      </c>
      <c r="G179" s="745"/>
      <c r="H179" s="745">
        <f>H180</f>
        <v>2117822</v>
      </c>
      <c r="I179" s="745">
        <f>I180</f>
        <v>2117822</v>
      </c>
      <c r="J179" s="745"/>
      <c r="K179" s="745"/>
      <c r="L179" s="745"/>
      <c r="M179" s="745">
        <f t="shared" si="92"/>
        <v>232927</v>
      </c>
      <c r="N179" s="745">
        <f t="shared" si="92"/>
        <v>1987203</v>
      </c>
      <c r="O179" s="745">
        <f t="shared" si="92"/>
        <v>1987203</v>
      </c>
      <c r="P179" s="745"/>
      <c r="Q179" s="745"/>
      <c r="R179" s="745"/>
      <c r="S179" s="514"/>
    </row>
    <row r="180" spans="1:19" s="746" customFormat="1" ht="80.25" customHeight="1">
      <c r="A180" s="763" t="s">
        <v>98</v>
      </c>
      <c r="B180" s="764" t="s">
        <v>99</v>
      </c>
      <c r="C180" s="374"/>
      <c r="D180" s="296"/>
      <c r="E180" s="758">
        <f>SUM(E182:E213)</f>
        <v>2612248</v>
      </c>
      <c r="F180" s="758">
        <f t="shared" ref="F180:O180" si="93">SUM(F182:F213)</f>
        <v>1987203</v>
      </c>
      <c r="G180" s="758"/>
      <c r="H180" s="758">
        <f t="shared" ref="H180:I180" si="94">SUM(H182:H213)</f>
        <v>2117822</v>
      </c>
      <c r="I180" s="758">
        <f t="shared" si="94"/>
        <v>2117822</v>
      </c>
      <c r="J180" s="758"/>
      <c r="K180" s="758"/>
      <c r="L180" s="758"/>
      <c r="M180" s="758">
        <f t="shared" si="93"/>
        <v>232927</v>
      </c>
      <c r="N180" s="758">
        <f t="shared" si="93"/>
        <v>1987203</v>
      </c>
      <c r="O180" s="758">
        <f t="shared" si="93"/>
        <v>1987203</v>
      </c>
      <c r="P180" s="758"/>
      <c r="Q180" s="758"/>
      <c r="R180" s="758"/>
      <c r="S180" s="514"/>
    </row>
    <row r="181" spans="1:19" s="746" customFormat="1" ht="80.25" customHeight="1">
      <c r="A181" s="763" t="s">
        <v>28</v>
      </c>
      <c r="B181" s="764" t="s">
        <v>1908</v>
      </c>
      <c r="C181" s="374"/>
      <c r="D181" s="296"/>
      <c r="E181" s="758"/>
      <c r="F181" s="758"/>
      <c r="G181" s="758"/>
      <c r="H181" s="758"/>
      <c r="I181" s="758"/>
      <c r="J181" s="758"/>
      <c r="K181" s="758"/>
      <c r="L181" s="758"/>
      <c r="M181" s="758"/>
      <c r="N181" s="758"/>
      <c r="O181" s="758"/>
      <c r="P181" s="758"/>
      <c r="Q181" s="758"/>
      <c r="R181" s="758"/>
      <c r="S181" s="514"/>
    </row>
    <row r="182" spans="1:19" s="746" customFormat="1" ht="68.25" customHeight="1">
      <c r="A182" s="807"/>
      <c r="B182" s="809" t="s">
        <v>965</v>
      </c>
      <c r="C182" s="278" t="s">
        <v>88</v>
      </c>
      <c r="D182" s="381" t="s">
        <v>1837</v>
      </c>
      <c r="E182" s="355">
        <v>35497</v>
      </c>
      <c r="F182" s="355">
        <v>5175</v>
      </c>
      <c r="G182" s="355"/>
      <c r="H182" s="309">
        <f t="shared" ref="H182:H206" si="95">I182+L182</f>
        <v>5175</v>
      </c>
      <c r="I182" s="355">
        <v>5175</v>
      </c>
      <c r="J182" s="355"/>
      <c r="K182" s="355"/>
      <c r="L182" s="355"/>
      <c r="M182" s="355">
        <v>5175</v>
      </c>
      <c r="N182" s="309">
        <f>SUM(O182:R182)</f>
        <v>5175</v>
      </c>
      <c r="O182" s="355">
        <f>I182</f>
        <v>5175</v>
      </c>
      <c r="P182" s="355"/>
      <c r="Q182" s="355"/>
      <c r="R182" s="355"/>
      <c r="S182" s="514"/>
    </row>
    <row r="183" spans="1:19" s="746" customFormat="1" ht="65.25" customHeight="1">
      <c r="A183" s="810"/>
      <c r="B183" s="811" t="s">
        <v>421</v>
      </c>
      <c r="C183" s="768" t="s">
        <v>89</v>
      </c>
      <c r="D183" s="381" t="s">
        <v>422</v>
      </c>
      <c r="E183" s="547">
        <v>12938</v>
      </c>
      <c r="F183" s="547">
        <f>N183</f>
        <v>4792</v>
      </c>
      <c r="G183" s="547"/>
      <c r="H183" s="309">
        <f t="shared" si="95"/>
        <v>4792</v>
      </c>
      <c r="I183" s="309">
        <v>4792</v>
      </c>
      <c r="J183" s="309"/>
      <c r="K183" s="309"/>
      <c r="L183" s="309"/>
      <c r="M183" s="329">
        <f>4792</f>
        <v>4792</v>
      </c>
      <c r="N183" s="309">
        <f t="shared" ref="N183:N206" si="96">SUM(O183:R183)</f>
        <v>4792</v>
      </c>
      <c r="O183" s="355">
        <f t="shared" ref="O183:O206" si="97">I183</f>
        <v>4792</v>
      </c>
      <c r="P183" s="309"/>
      <c r="Q183" s="309"/>
      <c r="R183" s="309"/>
      <c r="S183" s="514"/>
    </row>
    <row r="184" spans="1:19" s="746" customFormat="1" ht="73.5" customHeight="1">
      <c r="A184" s="810"/>
      <c r="B184" s="796" t="s">
        <v>423</v>
      </c>
      <c r="C184" s="768" t="s">
        <v>89</v>
      </c>
      <c r="D184" s="381" t="s">
        <v>424</v>
      </c>
      <c r="E184" s="547">
        <v>12214</v>
      </c>
      <c r="F184" s="547">
        <f t="shared" ref="F184:F207" si="98">N184</f>
        <v>6704</v>
      </c>
      <c r="G184" s="547"/>
      <c r="H184" s="309">
        <f t="shared" si="95"/>
        <v>6704</v>
      </c>
      <c r="I184" s="309">
        <v>6704</v>
      </c>
      <c r="J184" s="309"/>
      <c r="K184" s="309"/>
      <c r="L184" s="309"/>
      <c r="M184" s="329">
        <f>6704</f>
        <v>6704</v>
      </c>
      <c r="N184" s="309">
        <f t="shared" si="96"/>
        <v>6704</v>
      </c>
      <c r="O184" s="355">
        <f t="shared" si="97"/>
        <v>6704</v>
      </c>
      <c r="P184" s="309"/>
      <c r="Q184" s="309"/>
      <c r="R184" s="309"/>
      <c r="S184" s="514"/>
    </row>
    <row r="185" spans="1:19" s="746" customFormat="1" ht="76.5" customHeight="1">
      <c r="A185" s="812"/>
      <c r="B185" s="798" t="s">
        <v>425</v>
      </c>
      <c r="C185" s="768" t="s">
        <v>89</v>
      </c>
      <c r="D185" s="381" t="s">
        <v>426</v>
      </c>
      <c r="E185" s="547">
        <v>29000</v>
      </c>
      <c r="F185" s="547">
        <f t="shared" si="98"/>
        <v>8100</v>
      </c>
      <c r="G185" s="547"/>
      <c r="H185" s="309">
        <f t="shared" si="95"/>
        <v>8100</v>
      </c>
      <c r="I185" s="309">
        <v>8100</v>
      </c>
      <c r="J185" s="309"/>
      <c r="K185" s="309"/>
      <c r="L185" s="309"/>
      <c r="M185" s="329">
        <v>8100</v>
      </c>
      <c r="N185" s="309">
        <f t="shared" si="96"/>
        <v>8100</v>
      </c>
      <c r="O185" s="355">
        <f t="shared" si="97"/>
        <v>8100</v>
      </c>
      <c r="P185" s="309"/>
      <c r="Q185" s="309"/>
      <c r="R185" s="309"/>
      <c r="S185" s="514"/>
    </row>
    <row r="186" spans="1:19" s="746" customFormat="1" ht="73.5" customHeight="1">
      <c r="A186" s="810"/>
      <c r="B186" s="813" t="s">
        <v>427</v>
      </c>
      <c r="C186" s="768" t="s">
        <v>89</v>
      </c>
      <c r="D186" s="589" t="s">
        <v>428</v>
      </c>
      <c r="E186" s="814">
        <v>12119</v>
      </c>
      <c r="F186" s="547">
        <f t="shared" si="98"/>
        <v>5726</v>
      </c>
      <c r="G186" s="547"/>
      <c r="H186" s="309">
        <f t="shared" si="95"/>
        <v>5726</v>
      </c>
      <c r="I186" s="309">
        <v>5726</v>
      </c>
      <c r="J186" s="309"/>
      <c r="K186" s="309"/>
      <c r="L186" s="309"/>
      <c r="M186" s="329">
        <v>5726</v>
      </c>
      <c r="N186" s="309">
        <f t="shared" si="96"/>
        <v>5726</v>
      </c>
      <c r="O186" s="355">
        <f t="shared" si="97"/>
        <v>5726</v>
      </c>
      <c r="P186" s="309"/>
      <c r="Q186" s="309"/>
      <c r="R186" s="309"/>
      <c r="S186" s="514"/>
    </row>
    <row r="187" spans="1:19" s="746" customFormat="1" ht="58.5" customHeight="1">
      <c r="A187" s="810"/>
      <c r="B187" s="813" t="s">
        <v>429</v>
      </c>
      <c r="C187" s="768" t="s">
        <v>89</v>
      </c>
      <c r="D187" s="589" t="s">
        <v>430</v>
      </c>
      <c r="E187" s="814">
        <v>10990</v>
      </c>
      <c r="F187" s="547">
        <f t="shared" si="98"/>
        <v>2200</v>
      </c>
      <c r="G187" s="547"/>
      <c r="H187" s="309">
        <f t="shared" si="95"/>
        <v>2200</v>
      </c>
      <c r="I187" s="309">
        <v>2200</v>
      </c>
      <c r="J187" s="309"/>
      <c r="K187" s="309"/>
      <c r="L187" s="309"/>
      <c r="M187" s="329">
        <v>2200</v>
      </c>
      <c r="N187" s="309">
        <f t="shared" si="96"/>
        <v>2200</v>
      </c>
      <c r="O187" s="355">
        <f t="shared" si="97"/>
        <v>2200</v>
      </c>
      <c r="P187" s="309"/>
      <c r="Q187" s="309"/>
      <c r="R187" s="309"/>
      <c r="S187" s="514"/>
    </row>
    <row r="188" spans="1:19" s="746" customFormat="1" ht="75" customHeight="1">
      <c r="A188" s="812"/>
      <c r="B188" s="813" t="s">
        <v>431</v>
      </c>
      <c r="C188" s="768" t="s">
        <v>89</v>
      </c>
      <c r="D188" s="589" t="s">
        <v>432</v>
      </c>
      <c r="E188" s="814">
        <v>11658</v>
      </c>
      <c r="F188" s="547">
        <f t="shared" si="98"/>
        <v>3785</v>
      </c>
      <c r="G188" s="547"/>
      <c r="H188" s="309">
        <f t="shared" si="95"/>
        <v>3785</v>
      </c>
      <c r="I188" s="309">
        <v>3785</v>
      </c>
      <c r="J188" s="309"/>
      <c r="K188" s="309"/>
      <c r="L188" s="309"/>
      <c r="M188" s="329">
        <v>3785</v>
      </c>
      <c r="N188" s="309">
        <f t="shared" si="96"/>
        <v>3785</v>
      </c>
      <c r="O188" s="355">
        <f t="shared" si="97"/>
        <v>3785</v>
      </c>
      <c r="P188" s="309"/>
      <c r="Q188" s="309"/>
      <c r="R188" s="309"/>
      <c r="S188" s="514"/>
    </row>
    <row r="189" spans="1:19" s="746" customFormat="1" ht="77.25" customHeight="1">
      <c r="A189" s="810"/>
      <c r="B189" s="813" t="s">
        <v>433</v>
      </c>
      <c r="C189" s="768" t="s">
        <v>89</v>
      </c>
      <c r="D189" s="589" t="s">
        <v>434</v>
      </c>
      <c r="E189" s="814">
        <v>28410</v>
      </c>
      <c r="F189" s="547">
        <f t="shared" si="98"/>
        <v>3187</v>
      </c>
      <c r="G189" s="547"/>
      <c r="H189" s="309">
        <f t="shared" si="95"/>
        <v>3187</v>
      </c>
      <c r="I189" s="309">
        <v>3187</v>
      </c>
      <c r="J189" s="309"/>
      <c r="K189" s="309"/>
      <c r="L189" s="309"/>
      <c r="M189" s="329">
        <v>3187</v>
      </c>
      <c r="N189" s="309">
        <f t="shared" si="96"/>
        <v>3187</v>
      </c>
      <c r="O189" s="355">
        <f t="shared" si="97"/>
        <v>3187</v>
      </c>
      <c r="P189" s="309"/>
      <c r="Q189" s="309"/>
      <c r="R189" s="309"/>
      <c r="S189" s="514"/>
    </row>
    <row r="190" spans="1:19" s="746" customFormat="1" ht="83.25" customHeight="1">
      <c r="A190" s="810"/>
      <c r="B190" s="796" t="s">
        <v>435</v>
      </c>
      <c r="C190" s="768" t="s">
        <v>89</v>
      </c>
      <c r="D190" s="316" t="s">
        <v>436</v>
      </c>
      <c r="E190" s="547">
        <v>18750</v>
      </c>
      <c r="F190" s="547">
        <f t="shared" si="98"/>
        <v>5750</v>
      </c>
      <c r="G190" s="547"/>
      <c r="H190" s="309">
        <f t="shared" si="95"/>
        <v>5750</v>
      </c>
      <c r="I190" s="309">
        <v>5750</v>
      </c>
      <c r="J190" s="309"/>
      <c r="K190" s="309"/>
      <c r="L190" s="309"/>
      <c r="M190" s="329">
        <v>3894</v>
      </c>
      <c r="N190" s="309">
        <f t="shared" si="96"/>
        <v>5750</v>
      </c>
      <c r="O190" s="355">
        <f t="shared" si="97"/>
        <v>5750</v>
      </c>
      <c r="P190" s="309"/>
      <c r="Q190" s="309"/>
      <c r="R190" s="309"/>
      <c r="S190" s="514"/>
    </row>
    <row r="191" spans="1:19" s="746" customFormat="1" ht="72" customHeight="1">
      <c r="A191" s="812"/>
      <c r="B191" s="796" t="s">
        <v>437</v>
      </c>
      <c r="C191" s="768" t="s">
        <v>89</v>
      </c>
      <c r="D191" s="316" t="s">
        <v>438</v>
      </c>
      <c r="E191" s="547">
        <v>19650</v>
      </c>
      <c r="F191" s="547">
        <f t="shared" si="98"/>
        <v>4973</v>
      </c>
      <c r="G191" s="547"/>
      <c r="H191" s="309">
        <f t="shared" si="95"/>
        <v>4973</v>
      </c>
      <c r="I191" s="309">
        <v>4973</v>
      </c>
      <c r="J191" s="309"/>
      <c r="K191" s="309"/>
      <c r="L191" s="309"/>
      <c r="M191" s="329">
        <v>4973</v>
      </c>
      <c r="N191" s="309">
        <f t="shared" si="96"/>
        <v>4973</v>
      </c>
      <c r="O191" s="355">
        <f t="shared" si="97"/>
        <v>4973</v>
      </c>
      <c r="P191" s="309"/>
      <c r="Q191" s="309"/>
      <c r="R191" s="309"/>
      <c r="S191" s="514"/>
    </row>
    <row r="192" spans="1:19" s="746" customFormat="1" ht="76.5" customHeight="1">
      <c r="A192" s="810"/>
      <c r="B192" s="815" t="s">
        <v>439</v>
      </c>
      <c r="C192" s="768" t="s">
        <v>89</v>
      </c>
      <c r="D192" s="316" t="s">
        <v>440</v>
      </c>
      <c r="E192" s="547">
        <v>22750</v>
      </c>
      <c r="F192" s="547">
        <f t="shared" si="98"/>
        <v>3321</v>
      </c>
      <c r="G192" s="547"/>
      <c r="H192" s="309">
        <f t="shared" si="95"/>
        <v>3321</v>
      </c>
      <c r="I192" s="309">
        <v>3321</v>
      </c>
      <c r="J192" s="309"/>
      <c r="K192" s="309"/>
      <c r="L192" s="309"/>
      <c r="M192" s="329">
        <v>3321</v>
      </c>
      <c r="N192" s="309">
        <f t="shared" si="96"/>
        <v>3321</v>
      </c>
      <c r="O192" s="355">
        <f t="shared" si="97"/>
        <v>3321</v>
      </c>
      <c r="P192" s="309"/>
      <c r="Q192" s="309"/>
      <c r="R192" s="309"/>
      <c r="S192" s="514"/>
    </row>
    <row r="193" spans="1:19" s="746" customFormat="1" ht="70.5" customHeight="1">
      <c r="A193" s="810"/>
      <c r="B193" s="815" t="s">
        <v>441</v>
      </c>
      <c r="C193" s="768" t="s">
        <v>89</v>
      </c>
      <c r="D193" s="316" t="s">
        <v>442</v>
      </c>
      <c r="E193" s="547">
        <v>25250</v>
      </c>
      <c r="F193" s="547">
        <f t="shared" si="98"/>
        <v>6068</v>
      </c>
      <c r="G193" s="547"/>
      <c r="H193" s="309">
        <f t="shared" si="95"/>
        <v>6068</v>
      </c>
      <c r="I193" s="309">
        <v>6068</v>
      </c>
      <c r="J193" s="309"/>
      <c r="K193" s="309"/>
      <c r="L193" s="309"/>
      <c r="M193" s="329">
        <v>6068</v>
      </c>
      <c r="N193" s="309">
        <f t="shared" si="96"/>
        <v>6068</v>
      </c>
      <c r="O193" s="355">
        <f t="shared" si="97"/>
        <v>6068</v>
      </c>
      <c r="P193" s="309"/>
      <c r="Q193" s="309"/>
      <c r="R193" s="309"/>
      <c r="S193" s="514"/>
    </row>
    <row r="194" spans="1:19" s="746" customFormat="1" ht="70.5" customHeight="1">
      <c r="A194" s="812"/>
      <c r="B194" s="796" t="s">
        <v>443</v>
      </c>
      <c r="C194" s="768" t="s">
        <v>89</v>
      </c>
      <c r="D194" s="296" t="s">
        <v>444</v>
      </c>
      <c r="E194" s="547">
        <v>8750</v>
      </c>
      <c r="F194" s="547">
        <f t="shared" si="98"/>
        <v>4537</v>
      </c>
      <c r="G194" s="547"/>
      <c r="H194" s="309">
        <f t="shared" si="95"/>
        <v>4537</v>
      </c>
      <c r="I194" s="309">
        <v>4537</v>
      </c>
      <c r="J194" s="309"/>
      <c r="K194" s="309"/>
      <c r="L194" s="309"/>
      <c r="M194" s="329">
        <v>4537</v>
      </c>
      <c r="N194" s="309">
        <f t="shared" si="96"/>
        <v>4537</v>
      </c>
      <c r="O194" s="355">
        <f t="shared" si="97"/>
        <v>4537</v>
      </c>
      <c r="P194" s="309"/>
      <c r="Q194" s="309"/>
      <c r="R194" s="309"/>
      <c r="S194" s="514"/>
    </row>
    <row r="195" spans="1:19" s="746" customFormat="1" ht="58.5" customHeight="1">
      <c r="A195" s="810"/>
      <c r="B195" s="796" t="s">
        <v>445</v>
      </c>
      <c r="C195" s="768" t="s">
        <v>89</v>
      </c>
      <c r="D195" s="296" t="s">
        <v>446</v>
      </c>
      <c r="E195" s="547">
        <v>12750</v>
      </c>
      <c r="F195" s="547">
        <f t="shared" si="98"/>
        <v>2400</v>
      </c>
      <c r="G195" s="547"/>
      <c r="H195" s="309">
        <f t="shared" si="95"/>
        <v>2400</v>
      </c>
      <c r="I195" s="309">
        <v>2400</v>
      </c>
      <c r="J195" s="309"/>
      <c r="K195" s="309"/>
      <c r="L195" s="309"/>
      <c r="M195" s="329">
        <v>2400</v>
      </c>
      <c r="N195" s="309">
        <f t="shared" si="96"/>
        <v>2400</v>
      </c>
      <c r="O195" s="355">
        <f t="shared" si="97"/>
        <v>2400</v>
      </c>
      <c r="P195" s="309"/>
      <c r="Q195" s="309"/>
      <c r="R195" s="309"/>
      <c r="S195" s="514"/>
    </row>
    <row r="196" spans="1:19" s="746" customFormat="1" ht="58.5" customHeight="1">
      <c r="A196" s="810"/>
      <c r="B196" s="395" t="s">
        <v>447</v>
      </c>
      <c r="C196" s="768" t="s">
        <v>89</v>
      </c>
      <c r="D196" s="297" t="s">
        <v>448</v>
      </c>
      <c r="E196" s="547">
        <v>9916</v>
      </c>
      <c r="F196" s="547">
        <f t="shared" si="98"/>
        <v>3770</v>
      </c>
      <c r="G196" s="547"/>
      <c r="H196" s="309">
        <f t="shared" si="95"/>
        <v>3770</v>
      </c>
      <c r="I196" s="309">
        <v>3770</v>
      </c>
      <c r="J196" s="309"/>
      <c r="K196" s="309"/>
      <c r="L196" s="309"/>
      <c r="M196" s="329">
        <v>3770</v>
      </c>
      <c r="N196" s="309">
        <f t="shared" si="96"/>
        <v>3770</v>
      </c>
      <c r="O196" s="355">
        <f t="shared" si="97"/>
        <v>3770</v>
      </c>
      <c r="P196" s="309"/>
      <c r="Q196" s="309"/>
      <c r="R196" s="309"/>
      <c r="S196" s="514"/>
    </row>
    <row r="197" spans="1:19" s="746" customFormat="1" ht="58.5" customHeight="1">
      <c r="A197" s="812"/>
      <c r="B197" s="395" t="s">
        <v>449</v>
      </c>
      <c r="C197" s="768" t="s">
        <v>89</v>
      </c>
      <c r="D197" s="297" t="s">
        <v>450</v>
      </c>
      <c r="E197" s="547">
        <v>10898</v>
      </c>
      <c r="F197" s="547">
        <f t="shared" si="98"/>
        <v>5021</v>
      </c>
      <c r="G197" s="547"/>
      <c r="H197" s="309">
        <f t="shared" si="95"/>
        <v>5021</v>
      </c>
      <c r="I197" s="309">
        <v>5021</v>
      </c>
      <c r="J197" s="309"/>
      <c r="K197" s="309"/>
      <c r="L197" s="309"/>
      <c r="M197" s="329">
        <v>5021</v>
      </c>
      <c r="N197" s="309">
        <f t="shared" si="96"/>
        <v>5021</v>
      </c>
      <c r="O197" s="355">
        <f t="shared" si="97"/>
        <v>5021</v>
      </c>
      <c r="P197" s="309"/>
      <c r="Q197" s="309"/>
      <c r="R197" s="309"/>
      <c r="S197" s="514"/>
    </row>
    <row r="198" spans="1:19" s="746" customFormat="1" ht="69.75" customHeight="1">
      <c r="A198" s="810"/>
      <c r="B198" s="395" t="s">
        <v>451</v>
      </c>
      <c r="C198" s="768" t="s">
        <v>89</v>
      </c>
      <c r="D198" s="297" t="s">
        <v>452</v>
      </c>
      <c r="E198" s="547">
        <v>9994</v>
      </c>
      <c r="F198" s="547">
        <f t="shared" si="98"/>
        <v>4609</v>
      </c>
      <c r="G198" s="547"/>
      <c r="H198" s="309">
        <f t="shared" si="95"/>
        <v>4609</v>
      </c>
      <c r="I198" s="309">
        <v>4609</v>
      </c>
      <c r="J198" s="309"/>
      <c r="K198" s="309"/>
      <c r="L198" s="309"/>
      <c r="M198" s="329">
        <v>4609</v>
      </c>
      <c r="N198" s="309">
        <f t="shared" si="96"/>
        <v>4609</v>
      </c>
      <c r="O198" s="355">
        <f t="shared" si="97"/>
        <v>4609</v>
      </c>
      <c r="P198" s="309"/>
      <c r="Q198" s="309"/>
      <c r="R198" s="309"/>
      <c r="S198" s="514"/>
    </row>
    <row r="199" spans="1:19" s="746" customFormat="1" ht="74.25" customHeight="1">
      <c r="A199" s="810"/>
      <c r="B199" s="816" t="s">
        <v>453</v>
      </c>
      <c r="C199" s="768" t="s">
        <v>89</v>
      </c>
      <c r="D199" s="296" t="s">
        <v>454</v>
      </c>
      <c r="E199" s="547">
        <v>12202</v>
      </c>
      <c r="F199" s="547">
        <f t="shared" si="98"/>
        <v>5465</v>
      </c>
      <c r="G199" s="547"/>
      <c r="H199" s="309">
        <f t="shared" si="95"/>
        <v>5465</v>
      </c>
      <c r="I199" s="309">
        <v>5465</v>
      </c>
      <c r="J199" s="309"/>
      <c r="K199" s="309"/>
      <c r="L199" s="309"/>
      <c r="M199" s="329">
        <v>5465</v>
      </c>
      <c r="N199" s="309">
        <f t="shared" si="96"/>
        <v>5465</v>
      </c>
      <c r="O199" s="355">
        <f t="shared" si="97"/>
        <v>5465</v>
      </c>
      <c r="P199" s="309"/>
      <c r="Q199" s="309"/>
      <c r="R199" s="309"/>
      <c r="S199" s="514"/>
    </row>
    <row r="200" spans="1:19" s="746" customFormat="1" ht="64.5" customHeight="1">
      <c r="A200" s="812"/>
      <c r="B200" s="817" t="s">
        <v>455</v>
      </c>
      <c r="C200" s="768" t="s">
        <v>89</v>
      </c>
      <c r="D200" s="296" t="s">
        <v>456</v>
      </c>
      <c r="E200" s="547">
        <v>14984</v>
      </c>
      <c r="F200" s="547">
        <f t="shared" si="98"/>
        <v>9239</v>
      </c>
      <c r="G200" s="547"/>
      <c r="H200" s="309">
        <f t="shared" si="95"/>
        <v>9239</v>
      </c>
      <c r="I200" s="309">
        <v>9239</v>
      </c>
      <c r="J200" s="309"/>
      <c r="K200" s="309"/>
      <c r="L200" s="309"/>
      <c r="M200" s="329">
        <f>8372+867</f>
        <v>9239</v>
      </c>
      <c r="N200" s="309">
        <f t="shared" si="96"/>
        <v>9239</v>
      </c>
      <c r="O200" s="355">
        <f t="shared" si="97"/>
        <v>9239</v>
      </c>
      <c r="P200" s="309"/>
      <c r="Q200" s="309"/>
      <c r="R200" s="309"/>
      <c r="S200" s="514"/>
    </row>
    <row r="201" spans="1:19" s="746" customFormat="1" ht="64.5" customHeight="1">
      <c r="A201" s="810"/>
      <c r="B201" s="395" t="s">
        <v>457</v>
      </c>
      <c r="C201" s="768" t="s">
        <v>89</v>
      </c>
      <c r="D201" s="296" t="s">
        <v>458</v>
      </c>
      <c r="E201" s="547">
        <v>10950</v>
      </c>
      <c r="F201" s="547">
        <f t="shared" si="98"/>
        <v>1911</v>
      </c>
      <c r="G201" s="547"/>
      <c r="H201" s="309">
        <f t="shared" si="95"/>
        <v>1911</v>
      </c>
      <c r="I201" s="309">
        <v>1911</v>
      </c>
      <c r="J201" s="309"/>
      <c r="K201" s="309"/>
      <c r="L201" s="309"/>
      <c r="M201" s="329">
        <v>1911</v>
      </c>
      <c r="N201" s="309">
        <f t="shared" si="96"/>
        <v>1911</v>
      </c>
      <c r="O201" s="355">
        <f t="shared" si="97"/>
        <v>1911</v>
      </c>
      <c r="P201" s="309"/>
      <c r="Q201" s="309"/>
      <c r="R201" s="309"/>
      <c r="S201" s="514"/>
    </row>
    <row r="202" spans="1:19" s="746" customFormat="1" ht="64.5" customHeight="1">
      <c r="A202" s="810"/>
      <c r="B202" s="395" t="s">
        <v>459</v>
      </c>
      <c r="C202" s="768" t="s">
        <v>89</v>
      </c>
      <c r="D202" s="296" t="s">
        <v>460</v>
      </c>
      <c r="E202" s="547">
        <v>8895</v>
      </c>
      <c r="F202" s="547">
        <f t="shared" si="98"/>
        <v>5062</v>
      </c>
      <c r="G202" s="547"/>
      <c r="H202" s="309">
        <f t="shared" si="95"/>
        <v>5062</v>
      </c>
      <c r="I202" s="309">
        <v>5062</v>
      </c>
      <c r="J202" s="309"/>
      <c r="K202" s="309"/>
      <c r="L202" s="309"/>
      <c r="M202" s="329">
        <f>4038+1024</f>
        <v>5062</v>
      </c>
      <c r="N202" s="309">
        <f t="shared" si="96"/>
        <v>5062</v>
      </c>
      <c r="O202" s="355">
        <f t="shared" si="97"/>
        <v>5062</v>
      </c>
      <c r="P202" s="309"/>
      <c r="Q202" s="309"/>
      <c r="R202" s="309"/>
      <c r="S202" s="514"/>
    </row>
    <row r="203" spans="1:19" s="746" customFormat="1" ht="64.5" customHeight="1">
      <c r="A203" s="812"/>
      <c r="B203" s="818" t="s">
        <v>461</v>
      </c>
      <c r="C203" s="768" t="s">
        <v>89</v>
      </c>
      <c r="D203" s="316" t="s">
        <v>462</v>
      </c>
      <c r="E203" s="329">
        <v>12398</v>
      </c>
      <c r="F203" s="547">
        <f t="shared" si="98"/>
        <v>2988</v>
      </c>
      <c r="G203" s="547"/>
      <c r="H203" s="309">
        <f t="shared" si="95"/>
        <v>2988</v>
      </c>
      <c r="I203" s="309">
        <v>2988</v>
      </c>
      <c r="J203" s="309"/>
      <c r="K203" s="309"/>
      <c r="L203" s="309"/>
      <c r="M203" s="329">
        <v>2988</v>
      </c>
      <c r="N203" s="309">
        <f t="shared" si="96"/>
        <v>2988</v>
      </c>
      <c r="O203" s="355">
        <f t="shared" si="97"/>
        <v>2988</v>
      </c>
      <c r="P203" s="309"/>
      <c r="Q203" s="309"/>
      <c r="R203" s="309"/>
      <c r="S203" s="514"/>
    </row>
    <row r="204" spans="1:19" s="746" customFormat="1" ht="75.75" customHeight="1">
      <c r="A204" s="810"/>
      <c r="B204" s="818" t="s">
        <v>463</v>
      </c>
      <c r="C204" s="768" t="s">
        <v>89</v>
      </c>
      <c r="D204" s="297" t="s">
        <v>464</v>
      </c>
      <c r="E204" s="329">
        <v>14350</v>
      </c>
      <c r="F204" s="547">
        <f t="shared" si="98"/>
        <v>4850</v>
      </c>
      <c r="G204" s="547"/>
      <c r="H204" s="309">
        <f t="shared" si="95"/>
        <v>4850</v>
      </c>
      <c r="I204" s="309">
        <v>4850</v>
      </c>
      <c r="J204" s="309"/>
      <c r="K204" s="309"/>
      <c r="L204" s="309"/>
      <c r="M204" s="329">
        <f>2449+2401</f>
        <v>4850</v>
      </c>
      <c r="N204" s="309">
        <f t="shared" si="96"/>
        <v>4850</v>
      </c>
      <c r="O204" s="355">
        <f t="shared" si="97"/>
        <v>4850</v>
      </c>
      <c r="P204" s="309"/>
      <c r="Q204" s="309"/>
      <c r="R204" s="309"/>
      <c r="S204" s="514"/>
    </row>
    <row r="205" spans="1:19" s="746" customFormat="1" ht="76.5" customHeight="1">
      <c r="A205" s="810"/>
      <c r="B205" s="819" t="s">
        <v>465</v>
      </c>
      <c r="C205" s="768" t="s">
        <v>89</v>
      </c>
      <c r="D205" s="316" t="s">
        <v>466</v>
      </c>
      <c r="E205" s="820">
        <v>30814</v>
      </c>
      <c r="F205" s="547">
        <f t="shared" si="98"/>
        <v>6817</v>
      </c>
      <c r="G205" s="547"/>
      <c r="H205" s="309">
        <f t="shared" si="95"/>
        <v>6817</v>
      </c>
      <c r="I205" s="309">
        <v>6817</v>
      </c>
      <c r="J205" s="309"/>
      <c r="K205" s="309"/>
      <c r="L205" s="309"/>
      <c r="M205" s="329">
        <v>6817</v>
      </c>
      <c r="N205" s="309">
        <f t="shared" si="96"/>
        <v>6817</v>
      </c>
      <c r="O205" s="355">
        <f t="shared" si="97"/>
        <v>6817</v>
      </c>
      <c r="P205" s="309"/>
      <c r="Q205" s="309"/>
      <c r="R205" s="309"/>
      <c r="S205" s="514"/>
    </row>
    <row r="206" spans="1:19" s="746" customFormat="1" ht="94.5" customHeight="1">
      <c r="A206" s="812"/>
      <c r="B206" s="819" t="s">
        <v>467</v>
      </c>
      <c r="C206" s="768" t="s">
        <v>89</v>
      </c>
      <c r="D206" s="278" t="s">
        <v>468</v>
      </c>
      <c r="E206" s="547">
        <v>35577</v>
      </c>
      <c r="F206" s="547">
        <f t="shared" si="98"/>
        <v>8006</v>
      </c>
      <c r="G206" s="547"/>
      <c r="H206" s="309">
        <f t="shared" si="95"/>
        <v>8006</v>
      </c>
      <c r="I206" s="309">
        <v>8006</v>
      </c>
      <c r="J206" s="309"/>
      <c r="K206" s="309"/>
      <c r="L206" s="309"/>
      <c r="M206" s="329">
        <v>8006</v>
      </c>
      <c r="N206" s="309">
        <f t="shared" si="96"/>
        <v>8006</v>
      </c>
      <c r="O206" s="355">
        <f t="shared" si="97"/>
        <v>8006</v>
      </c>
      <c r="P206" s="309"/>
      <c r="Q206" s="309"/>
      <c r="R206" s="309"/>
      <c r="S206" s="514"/>
    </row>
    <row r="207" spans="1:19" s="746" customFormat="1" ht="169.5" customHeight="1">
      <c r="A207" s="540">
        <v>2</v>
      </c>
      <c r="B207" s="743" t="s">
        <v>469</v>
      </c>
      <c r="C207" s="744"/>
      <c r="D207" s="744" t="s">
        <v>470</v>
      </c>
      <c r="E207" s="745">
        <f>H207</f>
        <v>1883039</v>
      </c>
      <c r="F207" s="533">
        <f t="shared" si="98"/>
        <v>1752420</v>
      </c>
      <c r="G207" s="533"/>
      <c r="H207" s="462">
        <f>I207+L207</f>
        <v>1883039</v>
      </c>
      <c r="I207" s="462">
        <v>1883039</v>
      </c>
      <c r="J207" s="462"/>
      <c r="K207" s="462"/>
      <c r="L207" s="462"/>
      <c r="M207" s="821"/>
      <c r="N207" s="462">
        <f>O207</f>
        <v>1752420</v>
      </c>
      <c r="O207" s="462">
        <v>1752420</v>
      </c>
      <c r="P207" s="462"/>
      <c r="Q207" s="462"/>
      <c r="R207" s="462"/>
      <c r="S207" s="776" t="s">
        <v>1887</v>
      </c>
    </row>
    <row r="208" spans="1:19" s="746" customFormat="1" ht="83.25" customHeight="1">
      <c r="A208" s="316">
        <v>3</v>
      </c>
      <c r="B208" s="281" t="s">
        <v>471</v>
      </c>
      <c r="C208" s="278" t="s">
        <v>89</v>
      </c>
      <c r="D208" s="381" t="s">
        <v>472</v>
      </c>
      <c r="E208" s="545">
        <v>24000</v>
      </c>
      <c r="F208" s="547">
        <f>N208</f>
        <v>8648</v>
      </c>
      <c r="G208" s="547"/>
      <c r="H208" s="309">
        <f t="shared" ref="H208:H210" si="99">I208+L208</f>
        <v>8648</v>
      </c>
      <c r="I208" s="355">
        <v>8648</v>
      </c>
      <c r="J208" s="296"/>
      <c r="K208" s="296"/>
      <c r="L208" s="296"/>
      <c r="M208" s="355">
        <f>8648</f>
        <v>8648</v>
      </c>
      <c r="N208" s="309">
        <f>SUM(O208:R208)</f>
        <v>8648</v>
      </c>
      <c r="O208" s="355">
        <f>I208</f>
        <v>8648</v>
      </c>
      <c r="P208" s="296"/>
      <c r="Q208" s="296"/>
      <c r="R208" s="296"/>
      <c r="S208" s="514" t="s">
        <v>1853</v>
      </c>
    </row>
    <row r="209" spans="1:19" s="746" customFormat="1" ht="92.25" customHeight="1">
      <c r="A209" s="381">
        <v>4</v>
      </c>
      <c r="B209" s="281" t="s">
        <v>473</v>
      </c>
      <c r="C209" s="278" t="s">
        <v>89</v>
      </c>
      <c r="D209" s="381" t="s">
        <v>474</v>
      </c>
      <c r="E209" s="545">
        <v>36000</v>
      </c>
      <c r="F209" s="547">
        <f t="shared" ref="F209:F213" si="100">N209</f>
        <v>22647</v>
      </c>
      <c r="G209" s="547"/>
      <c r="H209" s="309">
        <f t="shared" si="99"/>
        <v>22647</v>
      </c>
      <c r="I209" s="355">
        <v>22647</v>
      </c>
      <c r="J209" s="296"/>
      <c r="K209" s="296"/>
      <c r="L209" s="296"/>
      <c r="M209" s="355">
        <f>8897+12231+1800-281</f>
        <v>22647</v>
      </c>
      <c r="N209" s="309">
        <f t="shared" ref="N209:N213" si="101">SUM(O209:R209)</f>
        <v>22647</v>
      </c>
      <c r="O209" s="355">
        <f t="shared" ref="O209:O213" si="102">I209</f>
        <v>22647</v>
      </c>
      <c r="P209" s="296"/>
      <c r="Q209" s="296"/>
      <c r="R209" s="296"/>
      <c r="S209" s="514" t="s">
        <v>1853</v>
      </c>
    </row>
    <row r="210" spans="1:19" s="746" customFormat="1" ht="69" customHeight="1">
      <c r="A210" s="316">
        <v>5</v>
      </c>
      <c r="B210" s="281" t="s">
        <v>475</v>
      </c>
      <c r="C210" s="297" t="s">
        <v>88</v>
      </c>
      <c r="D210" s="381" t="s">
        <v>476</v>
      </c>
      <c r="E210" s="545">
        <v>113095</v>
      </c>
      <c r="F210" s="547">
        <f t="shared" si="100"/>
        <v>9640</v>
      </c>
      <c r="G210" s="547"/>
      <c r="H210" s="309">
        <f t="shared" si="99"/>
        <v>9640</v>
      </c>
      <c r="I210" s="355">
        <v>9640</v>
      </c>
      <c r="J210" s="296"/>
      <c r="K210" s="296"/>
      <c r="L210" s="296"/>
      <c r="M210" s="355">
        <f>9640</f>
        <v>9640</v>
      </c>
      <c r="N210" s="309">
        <f t="shared" si="101"/>
        <v>9640</v>
      </c>
      <c r="O210" s="355">
        <f t="shared" si="102"/>
        <v>9640</v>
      </c>
      <c r="P210" s="296"/>
      <c r="Q210" s="296"/>
      <c r="R210" s="296"/>
      <c r="S210" s="514" t="s">
        <v>1853</v>
      </c>
    </row>
    <row r="211" spans="1:19" s="746" customFormat="1" ht="96.75" customHeight="1">
      <c r="A211" s="381">
        <v>6</v>
      </c>
      <c r="B211" s="281" t="s">
        <v>477</v>
      </c>
      <c r="C211" s="297" t="s">
        <v>88</v>
      </c>
      <c r="D211" s="381" t="s">
        <v>478</v>
      </c>
      <c r="E211" s="545">
        <v>59000</v>
      </c>
      <c r="F211" s="547">
        <f t="shared" si="100"/>
        <v>27200</v>
      </c>
      <c r="G211" s="547"/>
      <c r="H211" s="355">
        <f>I211+L211</f>
        <v>27200</v>
      </c>
      <c r="I211" s="355">
        <v>27200</v>
      </c>
      <c r="J211" s="296"/>
      <c r="K211" s="296"/>
      <c r="L211" s="296"/>
      <c r="M211" s="355">
        <f>7100+9000+13100-2000</f>
        <v>27200</v>
      </c>
      <c r="N211" s="309">
        <f t="shared" si="101"/>
        <v>27200</v>
      </c>
      <c r="O211" s="355">
        <f t="shared" si="102"/>
        <v>27200</v>
      </c>
      <c r="P211" s="296"/>
      <c r="Q211" s="296"/>
      <c r="R211" s="296"/>
      <c r="S211" s="514" t="s">
        <v>1853</v>
      </c>
    </row>
    <row r="212" spans="1:19" s="746" customFormat="1" ht="98.25" customHeight="1">
      <c r="A212" s="316">
        <v>7</v>
      </c>
      <c r="B212" s="281" t="s">
        <v>479</v>
      </c>
      <c r="C212" s="297" t="s">
        <v>89</v>
      </c>
      <c r="D212" s="381" t="s">
        <v>480</v>
      </c>
      <c r="E212" s="545">
        <v>32000</v>
      </c>
      <c r="F212" s="547">
        <f t="shared" si="100"/>
        <v>20661</v>
      </c>
      <c r="G212" s="547"/>
      <c r="H212" s="355">
        <f>I212+L212</f>
        <v>20661</v>
      </c>
      <c r="I212" s="355">
        <v>20661</v>
      </c>
      <c r="J212" s="296"/>
      <c r="K212" s="296"/>
      <c r="L212" s="296"/>
      <c r="M212" s="355">
        <f>5619+8000+8000-958</f>
        <v>20661</v>
      </c>
      <c r="N212" s="309">
        <f t="shared" si="101"/>
        <v>20661</v>
      </c>
      <c r="O212" s="355">
        <f t="shared" si="102"/>
        <v>20661</v>
      </c>
      <c r="P212" s="296"/>
      <c r="Q212" s="296"/>
      <c r="R212" s="296"/>
      <c r="S212" s="514" t="s">
        <v>1853</v>
      </c>
    </row>
    <row r="213" spans="1:19" s="746" customFormat="1" ht="65.25" customHeight="1">
      <c r="A213" s="381">
        <v>8</v>
      </c>
      <c r="B213" s="767" t="s">
        <v>481</v>
      </c>
      <c r="C213" s="768" t="s">
        <v>89</v>
      </c>
      <c r="D213" s="381" t="s">
        <v>482</v>
      </c>
      <c r="E213" s="545">
        <v>33410</v>
      </c>
      <c r="F213" s="547">
        <f t="shared" si="100"/>
        <v>21531</v>
      </c>
      <c r="G213" s="547"/>
      <c r="H213" s="355">
        <f>I213+L213</f>
        <v>21531</v>
      </c>
      <c r="I213" s="355">
        <v>21531</v>
      </c>
      <c r="J213" s="296"/>
      <c r="K213" s="296"/>
      <c r="L213" s="296"/>
      <c r="M213" s="355">
        <f>6500+14000+1200-169</f>
        <v>21531</v>
      </c>
      <c r="N213" s="309">
        <f t="shared" si="101"/>
        <v>21531</v>
      </c>
      <c r="O213" s="355">
        <f t="shared" si="102"/>
        <v>21531</v>
      </c>
      <c r="P213" s="296"/>
      <c r="Q213" s="296"/>
      <c r="R213" s="296"/>
      <c r="S213" s="514" t="s">
        <v>1853</v>
      </c>
    </row>
    <row r="214" spans="1:19" s="746" customFormat="1" ht="118.5" customHeight="1">
      <c r="A214" s="760" t="s">
        <v>30</v>
      </c>
      <c r="B214" s="761" t="s">
        <v>106</v>
      </c>
      <c r="C214" s="290"/>
      <c r="D214" s="296"/>
      <c r="E214" s="745">
        <f>SUM(E215:E232)</f>
        <v>1248355</v>
      </c>
      <c r="F214" s="745">
        <f>SUM(F215:F232)</f>
        <v>176592</v>
      </c>
      <c r="G214" s="745"/>
      <c r="H214" s="745">
        <f>SUM(H215:H232)</f>
        <v>196000</v>
      </c>
      <c r="I214" s="745">
        <f>SUM(I215:I232)</f>
        <v>196000</v>
      </c>
      <c r="J214" s="745"/>
      <c r="K214" s="745"/>
      <c r="L214" s="745"/>
      <c r="M214" s="745">
        <f t="shared" ref="M214:R214" si="103">SUM(M215:M232)</f>
        <v>143591</v>
      </c>
      <c r="N214" s="745">
        <f t="shared" si="103"/>
        <v>286021</v>
      </c>
      <c r="O214" s="745">
        <f t="shared" si="103"/>
        <v>281268</v>
      </c>
      <c r="P214" s="745"/>
      <c r="Q214" s="745"/>
      <c r="R214" s="745">
        <f t="shared" si="103"/>
        <v>4753</v>
      </c>
      <c r="S214" s="514"/>
    </row>
    <row r="215" spans="1:19" s="746" customFormat="1" ht="118.5" customHeight="1">
      <c r="A215" s="381">
        <v>1</v>
      </c>
      <c r="B215" s="781" t="s">
        <v>2223</v>
      </c>
      <c r="C215" s="768"/>
      <c r="D215" s="304" t="s">
        <v>2226</v>
      </c>
      <c r="E215" s="355">
        <v>22400</v>
      </c>
      <c r="F215" s="309"/>
      <c r="G215" s="309"/>
      <c r="H215" s="355"/>
      <c r="I215" s="355"/>
      <c r="J215" s="312"/>
      <c r="K215" s="296"/>
      <c r="L215" s="309"/>
      <c r="M215" s="329">
        <f>500+4253</f>
        <v>4753</v>
      </c>
      <c r="N215" s="355">
        <f>SUM(O215:R215)</f>
        <v>13253</v>
      </c>
      <c r="O215" s="355">
        <v>8500</v>
      </c>
      <c r="P215" s="312"/>
      <c r="Q215" s="296"/>
      <c r="R215" s="309">
        <f>M215</f>
        <v>4753</v>
      </c>
      <c r="S215" s="776" t="s">
        <v>2297</v>
      </c>
    </row>
    <row r="216" spans="1:19" s="746" customFormat="1" ht="118.5" customHeight="1">
      <c r="A216" s="381">
        <v>2</v>
      </c>
      <c r="B216" s="781" t="s">
        <v>2224</v>
      </c>
      <c r="C216" s="768"/>
      <c r="D216" s="304" t="s">
        <v>2227</v>
      </c>
      <c r="E216" s="355">
        <v>54780</v>
      </c>
      <c r="F216" s="309"/>
      <c r="G216" s="309"/>
      <c r="H216" s="355"/>
      <c r="I216" s="355"/>
      <c r="J216" s="312"/>
      <c r="K216" s="296"/>
      <c r="L216" s="309"/>
      <c r="M216" s="329"/>
      <c r="N216" s="355">
        <f>SUM(O216:R216)</f>
        <v>3000</v>
      </c>
      <c r="O216" s="355">
        <v>3000</v>
      </c>
      <c r="P216" s="312"/>
      <c r="Q216" s="296"/>
      <c r="R216" s="309"/>
      <c r="S216" s="776" t="s">
        <v>2297</v>
      </c>
    </row>
    <row r="217" spans="1:19" s="746" customFormat="1" ht="118.5" customHeight="1">
      <c r="A217" s="381">
        <v>3</v>
      </c>
      <c r="B217" s="767" t="s">
        <v>2225</v>
      </c>
      <c r="C217" s="768"/>
      <c r="D217" s="768" t="s">
        <v>2228</v>
      </c>
      <c r="E217" s="767">
        <v>41000</v>
      </c>
      <c r="F217" s="309"/>
      <c r="G217" s="309"/>
      <c r="H217" s="355"/>
      <c r="I217" s="355"/>
      <c r="J217" s="312"/>
      <c r="K217" s="296"/>
      <c r="L217" s="309"/>
      <c r="M217" s="329"/>
      <c r="N217" s="355">
        <f>SUM(O217:R217)</f>
        <v>3858</v>
      </c>
      <c r="O217" s="355">
        <v>3858</v>
      </c>
      <c r="P217" s="312"/>
      <c r="Q217" s="296"/>
      <c r="R217" s="309"/>
      <c r="S217" s="776" t="s">
        <v>2297</v>
      </c>
    </row>
    <row r="218" spans="1:19" s="746" customFormat="1" ht="118.5" customHeight="1">
      <c r="A218" s="381">
        <v>4</v>
      </c>
      <c r="B218" s="773" t="s">
        <v>2301</v>
      </c>
      <c r="C218" s="768"/>
      <c r="D218" s="381"/>
      <c r="E218" s="767">
        <v>160000</v>
      </c>
      <c r="F218" s="309"/>
      <c r="G218" s="309"/>
      <c r="H218" s="355"/>
      <c r="I218" s="355"/>
      <c r="J218" s="312"/>
      <c r="K218" s="296"/>
      <c r="L218" s="309"/>
      <c r="M218" s="329"/>
      <c r="N218" s="355">
        <f>O218+R218</f>
        <v>20318</v>
      </c>
      <c r="O218" s="309">
        <f>10000+10000+10000+5318-10000-5000</f>
        <v>20318</v>
      </c>
      <c r="P218" s="312"/>
      <c r="Q218" s="296"/>
      <c r="R218" s="309"/>
      <c r="S218" s="776" t="s">
        <v>2297</v>
      </c>
    </row>
    <row r="219" spans="1:19" s="746" customFormat="1" ht="118.5" customHeight="1">
      <c r="A219" s="381">
        <v>5</v>
      </c>
      <c r="B219" s="773" t="s">
        <v>2302</v>
      </c>
      <c r="C219" s="768"/>
      <c r="D219" s="381"/>
      <c r="E219" s="767">
        <v>200000</v>
      </c>
      <c r="F219" s="309"/>
      <c r="G219" s="309"/>
      <c r="H219" s="355"/>
      <c r="I219" s="355"/>
      <c r="J219" s="312"/>
      <c r="K219" s="296"/>
      <c r="L219" s="309"/>
      <c r="M219" s="329"/>
      <c r="N219" s="355">
        <f>O219+R219</f>
        <v>24000</v>
      </c>
      <c r="O219" s="309">
        <f>10000+10000+10000+4000-5000-5000</f>
        <v>24000</v>
      </c>
      <c r="P219" s="312"/>
      <c r="Q219" s="296"/>
      <c r="R219" s="309"/>
      <c r="S219" s="776" t="s">
        <v>2297</v>
      </c>
    </row>
    <row r="220" spans="1:19" s="746" customFormat="1" ht="118.5" customHeight="1">
      <c r="A220" s="381">
        <v>6</v>
      </c>
      <c r="B220" s="773" t="s">
        <v>2303</v>
      </c>
      <c r="C220" s="768"/>
      <c r="D220" s="381"/>
      <c r="E220" s="767">
        <v>240000</v>
      </c>
      <c r="F220" s="309"/>
      <c r="G220" s="309"/>
      <c r="H220" s="355"/>
      <c r="I220" s="355"/>
      <c r="J220" s="312"/>
      <c r="K220" s="296"/>
      <c r="L220" s="309"/>
      <c r="M220" s="329"/>
      <c r="N220" s="355">
        <f>O220+R220</f>
        <v>25000</v>
      </c>
      <c r="O220" s="309">
        <f>15000+10000+10000-5000-5000</f>
        <v>25000</v>
      </c>
      <c r="P220" s="312"/>
      <c r="Q220" s="296"/>
      <c r="R220" s="309"/>
      <c r="S220" s="776" t="s">
        <v>2297</v>
      </c>
    </row>
    <row r="221" spans="1:19" s="746" customFormat="1" ht="118.5" customHeight="1">
      <c r="A221" s="381">
        <v>7</v>
      </c>
      <c r="B221" s="773" t="s">
        <v>2229</v>
      </c>
      <c r="C221" s="768"/>
      <c r="D221" s="381"/>
      <c r="E221" s="767">
        <v>200000</v>
      </c>
      <c r="F221" s="309"/>
      <c r="G221" s="309"/>
      <c r="H221" s="355"/>
      <c r="I221" s="355"/>
      <c r="J221" s="312"/>
      <c r="K221" s="296"/>
      <c r="L221" s="309"/>
      <c r="M221" s="329"/>
      <c r="N221" s="355">
        <f>O221+R221</f>
        <v>20000</v>
      </c>
      <c r="O221" s="309">
        <f>10000+10000+10000+5000-10000-5000</f>
        <v>20000</v>
      </c>
      <c r="P221" s="312"/>
      <c r="Q221" s="296"/>
      <c r="R221" s="309"/>
      <c r="S221" s="776" t="s">
        <v>2297</v>
      </c>
    </row>
    <row r="222" spans="1:19" ht="105" customHeight="1">
      <c r="A222" s="381">
        <v>8</v>
      </c>
      <c r="B222" s="781" t="s">
        <v>484</v>
      </c>
      <c r="C222" s="768" t="s">
        <v>89</v>
      </c>
      <c r="D222" s="304" t="s">
        <v>485</v>
      </c>
      <c r="E222" s="355">
        <v>10000</v>
      </c>
      <c r="F222" s="309">
        <f>E222</f>
        <v>10000</v>
      </c>
      <c r="G222" s="309"/>
      <c r="H222" s="355">
        <f>I222+L222</f>
        <v>10000</v>
      </c>
      <c r="I222" s="355">
        <v>10000</v>
      </c>
      <c r="J222" s="312"/>
      <c r="K222" s="296"/>
      <c r="L222" s="296"/>
      <c r="M222" s="355">
        <f>6000+4000</f>
        <v>10000</v>
      </c>
      <c r="N222" s="355">
        <f>SUM(O222:R222)</f>
        <v>10000</v>
      </c>
      <c r="O222" s="355">
        <f>I222</f>
        <v>10000</v>
      </c>
      <c r="P222" s="312"/>
      <c r="Q222" s="296"/>
      <c r="R222" s="296"/>
      <c r="S222" s="514"/>
    </row>
    <row r="223" spans="1:19" ht="105" customHeight="1">
      <c r="A223" s="381">
        <v>9</v>
      </c>
      <c r="B223" s="781" t="s">
        <v>1841</v>
      </c>
      <c r="C223" s="768" t="s">
        <v>89</v>
      </c>
      <c r="D223" s="304"/>
      <c r="E223" s="355">
        <v>11000</v>
      </c>
      <c r="F223" s="309">
        <v>11000</v>
      </c>
      <c r="G223" s="309"/>
      <c r="H223" s="355">
        <v>11000</v>
      </c>
      <c r="I223" s="309">
        <v>11000</v>
      </c>
      <c r="J223" s="312"/>
      <c r="K223" s="296"/>
      <c r="L223" s="296"/>
      <c r="M223" s="355">
        <v>7000</v>
      </c>
      <c r="N223" s="355">
        <f>SUM(O223:R223)</f>
        <v>11000</v>
      </c>
      <c r="O223" s="309">
        <f>I223</f>
        <v>11000</v>
      </c>
      <c r="P223" s="312"/>
      <c r="Q223" s="296"/>
      <c r="R223" s="296"/>
      <c r="S223" s="514" t="s">
        <v>1894</v>
      </c>
    </row>
    <row r="224" spans="1:19" ht="96.75" customHeight="1">
      <c r="A224" s="381">
        <v>10</v>
      </c>
      <c r="B224" s="277" t="s">
        <v>1587</v>
      </c>
      <c r="C224" s="278" t="s">
        <v>89</v>
      </c>
      <c r="D224" s="279" t="s">
        <v>1589</v>
      </c>
      <c r="E224" s="280">
        <v>30000</v>
      </c>
      <c r="F224" s="280">
        <f>O224</f>
        <v>11900</v>
      </c>
      <c r="G224" s="280"/>
      <c r="H224" s="355">
        <f>I224</f>
        <v>11900</v>
      </c>
      <c r="I224" s="311">
        <v>11900</v>
      </c>
      <c r="J224" s="312"/>
      <c r="K224" s="296"/>
      <c r="L224" s="296"/>
      <c r="M224" s="282">
        <v>8146</v>
      </c>
      <c r="N224" s="355">
        <f>SUM(O224:R224)</f>
        <v>11900</v>
      </c>
      <c r="O224" s="309">
        <f>I224</f>
        <v>11900</v>
      </c>
      <c r="P224" s="312"/>
      <c r="Q224" s="296"/>
      <c r="R224" s="296"/>
      <c r="S224" s="514" t="s">
        <v>1888</v>
      </c>
    </row>
    <row r="225" spans="1:19" ht="140.25" customHeight="1">
      <c r="A225" s="381">
        <v>11</v>
      </c>
      <c r="B225" s="277" t="s">
        <v>1590</v>
      </c>
      <c r="C225" s="278" t="s">
        <v>88</v>
      </c>
      <c r="D225" s="279" t="s">
        <v>1592</v>
      </c>
      <c r="E225" s="280">
        <v>70000</v>
      </c>
      <c r="F225" s="280">
        <f t="shared" ref="F225:F231" si="104">O225</f>
        <v>35000</v>
      </c>
      <c r="G225" s="280"/>
      <c r="H225" s="355">
        <f t="shared" ref="H225:H232" si="105">I225</f>
        <v>55000</v>
      </c>
      <c r="I225" s="311">
        <v>55000</v>
      </c>
      <c r="J225" s="312"/>
      <c r="K225" s="296"/>
      <c r="L225" s="296"/>
      <c r="M225" s="282">
        <v>5000</v>
      </c>
      <c r="N225" s="355">
        <f>O225+R225</f>
        <v>35000</v>
      </c>
      <c r="O225" s="311">
        <v>35000</v>
      </c>
      <c r="P225" s="312"/>
      <c r="Q225" s="296"/>
      <c r="R225" s="296"/>
      <c r="S225" s="298" t="s">
        <v>2273</v>
      </c>
    </row>
    <row r="226" spans="1:19" ht="74.25" customHeight="1">
      <c r="A226" s="381">
        <v>12</v>
      </c>
      <c r="B226" s="277" t="s">
        <v>1593</v>
      </c>
      <c r="C226" s="278" t="s">
        <v>89</v>
      </c>
      <c r="D226" s="279" t="s">
        <v>1596</v>
      </c>
      <c r="E226" s="280">
        <v>33000</v>
      </c>
      <c r="F226" s="280">
        <f t="shared" si="104"/>
        <v>9200</v>
      </c>
      <c r="G226" s="280"/>
      <c r="H226" s="355">
        <f t="shared" si="105"/>
        <v>9200</v>
      </c>
      <c r="I226" s="311">
        <v>9200</v>
      </c>
      <c r="J226" s="312"/>
      <c r="K226" s="296"/>
      <c r="L226" s="296"/>
      <c r="M226" s="282">
        <v>9200</v>
      </c>
      <c r="N226" s="355">
        <f>SUM(O226:R226)</f>
        <v>9200</v>
      </c>
      <c r="O226" s="311">
        <f>I226</f>
        <v>9200</v>
      </c>
      <c r="P226" s="312"/>
      <c r="Q226" s="296"/>
      <c r="R226" s="296"/>
      <c r="S226" s="514"/>
    </row>
    <row r="227" spans="1:19" ht="80.25" customHeight="1">
      <c r="A227" s="381">
        <v>13</v>
      </c>
      <c r="B227" s="281" t="s">
        <v>967</v>
      </c>
      <c r="C227" s="278" t="s">
        <v>89</v>
      </c>
      <c r="D227" s="279" t="s">
        <v>1599</v>
      </c>
      <c r="E227" s="280">
        <v>33500</v>
      </c>
      <c r="F227" s="280">
        <f t="shared" si="104"/>
        <v>18092</v>
      </c>
      <c r="G227" s="280"/>
      <c r="H227" s="355">
        <f t="shared" si="105"/>
        <v>17500</v>
      </c>
      <c r="I227" s="311">
        <v>17500</v>
      </c>
      <c r="J227" s="312"/>
      <c r="K227" s="296"/>
      <c r="L227" s="296"/>
      <c r="M227" s="282">
        <f>592+17500</f>
        <v>18092</v>
      </c>
      <c r="N227" s="355">
        <f>SUM(O227:R227)</f>
        <v>18092</v>
      </c>
      <c r="O227" s="311">
        <f>M227</f>
        <v>18092</v>
      </c>
      <c r="P227" s="312"/>
      <c r="Q227" s="296"/>
      <c r="R227" s="296"/>
      <c r="S227" s="514" t="s">
        <v>1853</v>
      </c>
    </row>
    <row r="228" spans="1:19" ht="88.5" customHeight="1">
      <c r="A228" s="381">
        <v>14</v>
      </c>
      <c r="B228" s="277" t="s">
        <v>1600</v>
      </c>
      <c r="C228" s="278" t="s">
        <v>89</v>
      </c>
      <c r="D228" s="279" t="s">
        <v>1602</v>
      </c>
      <c r="E228" s="280">
        <v>30000</v>
      </c>
      <c r="F228" s="280">
        <f t="shared" si="104"/>
        <v>18000</v>
      </c>
      <c r="G228" s="280"/>
      <c r="H228" s="355">
        <f t="shared" si="105"/>
        <v>18000</v>
      </c>
      <c r="I228" s="311">
        <v>18000</v>
      </c>
      <c r="J228" s="312"/>
      <c r="K228" s="296"/>
      <c r="L228" s="296"/>
      <c r="M228" s="282">
        <v>18000</v>
      </c>
      <c r="N228" s="355">
        <f>SUM(O228:R228)</f>
        <v>18000</v>
      </c>
      <c r="O228" s="311">
        <f>I228</f>
        <v>18000</v>
      </c>
      <c r="P228" s="312"/>
      <c r="Q228" s="296"/>
      <c r="R228" s="296"/>
      <c r="S228" s="514"/>
    </row>
    <row r="229" spans="1:19" ht="73.5" customHeight="1">
      <c r="A229" s="381">
        <v>15</v>
      </c>
      <c r="B229" s="277" t="s">
        <v>1603</v>
      </c>
      <c r="C229" s="278" t="s">
        <v>89</v>
      </c>
      <c r="D229" s="279" t="s">
        <v>1605</v>
      </c>
      <c r="E229" s="280">
        <v>20000</v>
      </c>
      <c r="F229" s="280">
        <f>O229</f>
        <v>6000</v>
      </c>
      <c r="G229" s="280"/>
      <c r="H229" s="355">
        <f t="shared" si="105"/>
        <v>6000</v>
      </c>
      <c r="I229" s="311">
        <v>6000</v>
      </c>
      <c r="J229" s="312"/>
      <c r="K229" s="296"/>
      <c r="L229" s="296"/>
      <c r="M229" s="282">
        <v>6000</v>
      </c>
      <c r="N229" s="355">
        <f t="shared" ref="N229:N232" si="106">SUM(O229:R229)</f>
        <v>6000</v>
      </c>
      <c r="O229" s="311">
        <f>I229</f>
        <v>6000</v>
      </c>
      <c r="P229" s="312"/>
      <c r="Q229" s="296"/>
      <c r="R229" s="296"/>
      <c r="S229" s="514"/>
    </row>
    <row r="230" spans="1:19" ht="87.75" customHeight="1">
      <c r="A230" s="381">
        <v>16</v>
      </c>
      <c r="B230" s="283" t="s">
        <v>1756</v>
      </c>
      <c r="C230" s="278" t="s">
        <v>89</v>
      </c>
      <c r="D230" s="279" t="s">
        <v>1759</v>
      </c>
      <c r="E230" s="282">
        <v>25875</v>
      </c>
      <c r="F230" s="280">
        <f t="shared" si="104"/>
        <v>12900</v>
      </c>
      <c r="G230" s="282"/>
      <c r="H230" s="355">
        <f t="shared" si="105"/>
        <v>12900</v>
      </c>
      <c r="I230" s="311">
        <v>12900</v>
      </c>
      <c r="J230" s="312"/>
      <c r="K230" s="296"/>
      <c r="L230" s="296"/>
      <c r="M230" s="282">
        <v>12900</v>
      </c>
      <c r="N230" s="355">
        <f t="shared" si="106"/>
        <v>12900</v>
      </c>
      <c r="O230" s="311">
        <f>I230</f>
        <v>12900</v>
      </c>
      <c r="P230" s="312"/>
      <c r="Q230" s="296"/>
      <c r="R230" s="296"/>
      <c r="S230" s="514" t="s">
        <v>1888</v>
      </c>
    </row>
    <row r="231" spans="1:19" ht="86.25" customHeight="1">
      <c r="A231" s="381">
        <v>17</v>
      </c>
      <c r="B231" s="283" t="s">
        <v>1760</v>
      </c>
      <c r="C231" s="278" t="s">
        <v>89</v>
      </c>
      <c r="D231" s="279" t="s">
        <v>1762</v>
      </c>
      <c r="E231" s="282">
        <v>41000</v>
      </c>
      <c r="F231" s="280">
        <f t="shared" si="104"/>
        <v>29700</v>
      </c>
      <c r="G231" s="282"/>
      <c r="H231" s="355">
        <f t="shared" si="105"/>
        <v>29700</v>
      </c>
      <c r="I231" s="311">
        <v>29700</v>
      </c>
      <c r="J231" s="312"/>
      <c r="K231" s="296"/>
      <c r="L231" s="296"/>
      <c r="M231" s="282">
        <v>29700</v>
      </c>
      <c r="N231" s="355">
        <f t="shared" si="106"/>
        <v>29700</v>
      </c>
      <c r="O231" s="311">
        <f>I231</f>
        <v>29700</v>
      </c>
      <c r="P231" s="312"/>
      <c r="Q231" s="296"/>
      <c r="R231" s="296"/>
      <c r="S231" s="514" t="s">
        <v>1888</v>
      </c>
    </row>
    <row r="232" spans="1:19" ht="99.75" customHeight="1">
      <c r="A232" s="381">
        <v>18</v>
      </c>
      <c r="B232" s="283" t="s">
        <v>1763</v>
      </c>
      <c r="C232" s="278" t="s">
        <v>89</v>
      </c>
      <c r="D232" s="279" t="s">
        <v>1765</v>
      </c>
      <c r="E232" s="282">
        <v>25800</v>
      </c>
      <c r="F232" s="280">
        <f>O232</f>
        <v>14800</v>
      </c>
      <c r="G232" s="282"/>
      <c r="H232" s="355">
        <f t="shared" si="105"/>
        <v>14800</v>
      </c>
      <c r="I232" s="311">
        <v>14800</v>
      </c>
      <c r="J232" s="312"/>
      <c r="K232" s="296"/>
      <c r="L232" s="296"/>
      <c r="M232" s="282">
        <v>14800</v>
      </c>
      <c r="N232" s="355">
        <f t="shared" si="106"/>
        <v>14800</v>
      </c>
      <c r="O232" s="311">
        <f>I232</f>
        <v>14800</v>
      </c>
      <c r="P232" s="312"/>
      <c r="Q232" s="296"/>
      <c r="R232" s="296"/>
      <c r="S232" s="514" t="s">
        <v>1888</v>
      </c>
    </row>
    <row r="233" spans="1:19" s="762" customFormat="1" ht="68.25" customHeight="1">
      <c r="A233" s="760" t="s">
        <v>169</v>
      </c>
      <c r="B233" s="743" t="s">
        <v>1871</v>
      </c>
      <c r="C233" s="744"/>
      <c r="D233" s="514"/>
      <c r="E233" s="745">
        <f>E234+E237</f>
        <v>5098</v>
      </c>
      <c r="F233" s="745"/>
      <c r="G233" s="745">
        <f t="shared" ref="G233" si="107">G234+G237</f>
        <v>703</v>
      </c>
      <c r="H233" s="745">
        <f>H234+H237</f>
        <v>703</v>
      </c>
      <c r="I233" s="745"/>
      <c r="J233" s="745"/>
      <c r="K233" s="745"/>
      <c r="L233" s="745">
        <f t="shared" ref="L233" si="108">L234+L237</f>
        <v>703</v>
      </c>
      <c r="M233" s="745">
        <f t="shared" ref="M233:R233" si="109">M234+M237</f>
        <v>621</v>
      </c>
      <c r="N233" s="745">
        <f t="shared" si="109"/>
        <v>621</v>
      </c>
      <c r="O233" s="745"/>
      <c r="P233" s="745"/>
      <c r="Q233" s="745"/>
      <c r="R233" s="745">
        <f t="shared" si="109"/>
        <v>621</v>
      </c>
      <c r="S233" s="514"/>
    </row>
    <row r="234" spans="1:19" s="762" customFormat="1" ht="90.75" customHeight="1">
      <c r="A234" s="290">
        <v>1</v>
      </c>
      <c r="B234" s="761" t="s">
        <v>97</v>
      </c>
      <c r="C234" s="744"/>
      <c r="D234" s="514"/>
      <c r="E234" s="745">
        <v>82</v>
      </c>
      <c r="F234" s="745"/>
      <c r="G234" s="745">
        <v>82</v>
      </c>
      <c r="H234" s="745">
        <f>H235</f>
        <v>82</v>
      </c>
      <c r="I234" s="745"/>
      <c r="J234" s="745"/>
      <c r="K234" s="745"/>
      <c r="L234" s="745">
        <f>L235</f>
        <v>82</v>
      </c>
      <c r="M234" s="745"/>
      <c r="N234" s="745"/>
      <c r="O234" s="745"/>
      <c r="P234" s="745"/>
      <c r="Q234" s="745"/>
      <c r="R234" s="745"/>
      <c r="S234" s="514"/>
    </row>
    <row r="235" spans="1:19" s="765" customFormat="1" ht="63" customHeight="1">
      <c r="A235" s="374" t="s">
        <v>98</v>
      </c>
      <c r="B235" s="764" t="s">
        <v>99</v>
      </c>
      <c r="C235" s="822"/>
      <c r="D235" s="375"/>
      <c r="E235" s="758">
        <v>82</v>
      </c>
      <c r="F235" s="758"/>
      <c r="G235" s="758">
        <v>82</v>
      </c>
      <c r="H235" s="758">
        <f>H236</f>
        <v>82</v>
      </c>
      <c r="I235" s="758"/>
      <c r="J235" s="758"/>
      <c r="K235" s="758"/>
      <c r="L235" s="758">
        <f>L236</f>
        <v>82</v>
      </c>
      <c r="M235" s="758"/>
      <c r="N235" s="758"/>
      <c r="O235" s="758"/>
      <c r="P235" s="758"/>
      <c r="Q235" s="758"/>
      <c r="R235" s="758"/>
      <c r="S235" s="514"/>
    </row>
    <row r="236" spans="1:19" ht="84" customHeight="1">
      <c r="A236" s="766" t="s">
        <v>28</v>
      </c>
      <c r="B236" s="319" t="s">
        <v>486</v>
      </c>
      <c r="C236" s="768"/>
      <c r="D236" s="296"/>
      <c r="E236" s="355">
        <v>82</v>
      </c>
      <c r="F236" s="355"/>
      <c r="G236" s="355">
        <f>R236</f>
        <v>0</v>
      </c>
      <c r="H236" s="355">
        <f>L236</f>
        <v>82</v>
      </c>
      <c r="I236" s="355"/>
      <c r="J236" s="355"/>
      <c r="K236" s="355"/>
      <c r="L236" s="355">
        <v>82</v>
      </c>
      <c r="M236" s="355"/>
      <c r="N236" s="355"/>
      <c r="O236" s="355"/>
      <c r="P236" s="355"/>
      <c r="Q236" s="355"/>
      <c r="R236" s="355"/>
      <c r="S236" s="518" t="s">
        <v>2342</v>
      </c>
    </row>
    <row r="237" spans="1:19" s="762" customFormat="1" ht="85.5" customHeight="1">
      <c r="A237" s="760" t="s">
        <v>30</v>
      </c>
      <c r="B237" s="761" t="s">
        <v>106</v>
      </c>
      <c r="C237" s="744"/>
      <c r="D237" s="514"/>
      <c r="E237" s="745">
        <f>E238</f>
        <v>5016</v>
      </c>
      <c r="F237" s="745"/>
      <c r="G237" s="745">
        <f t="shared" ref="G237:R237" si="110">G238</f>
        <v>621</v>
      </c>
      <c r="H237" s="745">
        <f t="shared" si="110"/>
        <v>621</v>
      </c>
      <c r="I237" s="745"/>
      <c r="J237" s="745"/>
      <c r="K237" s="745"/>
      <c r="L237" s="745">
        <f t="shared" si="110"/>
        <v>621</v>
      </c>
      <c r="M237" s="745">
        <f t="shared" si="110"/>
        <v>621</v>
      </c>
      <c r="N237" s="745">
        <f t="shared" si="110"/>
        <v>621</v>
      </c>
      <c r="O237" s="745"/>
      <c r="P237" s="745"/>
      <c r="Q237" s="745"/>
      <c r="R237" s="745">
        <f t="shared" si="110"/>
        <v>621</v>
      </c>
      <c r="S237" s="514"/>
    </row>
    <row r="238" spans="1:19" ht="103.5" customHeight="1">
      <c r="A238" s="766" t="s">
        <v>28</v>
      </c>
      <c r="B238" s="319" t="s">
        <v>146</v>
      </c>
      <c r="C238" s="278" t="s">
        <v>89</v>
      </c>
      <c r="D238" s="304" t="s">
        <v>147</v>
      </c>
      <c r="E238" s="800">
        <v>5016</v>
      </c>
      <c r="F238" s="309"/>
      <c r="G238" s="309">
        <f>R238</f>
        <v>621</v>
      </c>
      <c r="H238" s="355">
        <f>L238</f>
        <v>621</v>
      </c>
      <c r="I238" s="355"/>
      <c r="J238" s="312"/>
      <c r="K238" s="296"/>
      <c r="L238" s="355">
        <v>621</v>
      </c>
      <c r="M238" s="355">
        <v>621</v>
      </c>
      <c r="N238" s="355">
        <f>SUM(O238:R238)</f>
        <v>621</v>
      </c>
      <c r="O238" s="355"/>
      <c r="P238" s="312"/>
      <c r="Q238" s="296"/>
      <c r="R238" s="355">
        <f>L238</f>
        <v>621</v>
      </c>
      <c r="S238" s="514"/>
    </row>
    <row r="239" spans="1:19" ht="61.5" customHeight="1">
      <c r="A239" s="290" t="s">
        <v>487</v>
      </c>
      <c r="B239" s="823" t="s">
        <v>1872</v>
      </c>
      <c r="C239" s="278"/>
      <c r="D239" s="761"/>
      <c r="E239" s="824">
        <f>E240+E245</f>
        <v>76236</v>
      </c>
      <c r="F239" s="824">
        <f t="shared" ref="F239:L239" si="111">F240+F245</f>
        <v>0</v>
      </c>
      <c r="G239" s="824">
        <f t="shared" si="111"/>
        <v>21970</v>
      </c>
      <c r="H239" s="824">
        <f t="shared" si="111"/>
        <v>23700</v>
      </c>
      <c r="I239" s="824">
        <f t="shared" si="111"/>
        <v>0</v>
      </c>
      <c r="J239" s="824">
        <f t="shared" si="111"/>
        <v>0</v>
      </c>
      <c r="K239" s="824">
        <f t="shared" si="111"/>
        <v>0</v>
      </c>
      <c r="L239" s="824">
        <f t="shared" si="111"/>
        <v>23700</v>
      </c>
      <c r="M239" s="824">
        <f t="shared" ref="M239:R239" si="112">M240+M245</f>
        <v>21970</v>
      </c>
      <c r="N239" s="824">
        <f t="shared" si="112"/>
        <v>21970</v>
      </c>
      <c r="O239" s="824">
        <f t="shared" si="112"/>
        <v>0</v>
      </c>
      <c r="P239" s="824">
        <f t="shared" si="112"/>
        <v>0</v>
      </c>
      <c r="Q239" s="824">
        <f t="shared" si="112"/>
        <v>0</v>
      </c>
      <c r="R239" s="824">
        <f t="shared" si="112"/>
        <v>21970</v>
      </c>
      <c r="S239" s="518"/>
    </row>
    <row r="240" spans="1:19" ht="110.25" customHeight="1">
      <c r="A240" s="290">
        <v>1</v>
      </c>
      <c r="B240" s="761" t="s">
        <v>97</v>
      </c>
      <c r="C240" s="278"/>
      <c r="D240" s="761"/>
      <c r="E240" s="824">
        <f>E241+E243</f>
        <v>6533</v>
      </c>
      <c r="F240" s="824">
        <f t="shared" ref="F240:R240" si="113">F241+F243</f>
        <v>0</v>
      </c>
      <c r="G240" s="824">
        <f t="shared" ref="G240" si="114">G241+G243</f>
        <v>6533</v>
      </c>
      <c r="H240" s="824">
        <f>H241+H243</f>
        <v>6263</v>
      </c>
      <c r="I240" s="824">
        <f>I241+I243</f>
        <v>0</v>
      </c>
      <c r="J240" s="824">
        <f>J241+J243</f>
        <v>0</v>
      </c>
      <c r="K240" s="824">
        <f>K241+K243</f>
        <v>0</v>
      </c>
      <c r="L240" s="824">
        <f>L241+L243</f>
        <v>6263</v>
      </c>
      <c r="M240" s="824">
        <f t="shared" si="113"/>
        <v>6533</v>
      </c>
      <c r="N240" s="824">
        <f t="shared" si="113"/>
        <v>6533</v>
      </c>
      <c r="O240" s="824">
        <f t="shared" si="113"/>
        <v>0</v>
      </c>
      <c r="P240" s="824">
        <f t="shared" si="113"/>
        <v>0</v>
      </c>
      <c r="Q240" s="824">
        <f t="shared" si="113"/>
        <v>0</v>
      </c>
      <c r="R240" s="824">
        <f t="shared" si="113"/>
        <v>6533</v>
      </c>
      <c r="S240" s="518"/>
    </row>
    <row r="241" spans="1:19" ht="78" customHeight="1">
      <c r="A241" s="374" t="s">
        <v>279</v>
      </c>
      <c r="B241" s="764" t="s">
        <v>280</v>
      </c>
      <c r="C241" s="278"/>
      <c r="D241" s="764"/>
      <c r="E241" s="825">
        <f>E242</f>
        <v>3853</v>
      </c>
      <c r="F241" s="825">
        <f t="shared" ref="F241:G241" si="115">F242</f>
        <v>0</v>
      </c>
      <c r="G241" s="825">
        <f t="shared" si="115"/>
        <v>3853</v>
      </c>
      <c r="H241" s="825">
        <f>L241</f>
        <v>3583</v>
      </c>
      <c r="I241" s="825"/>
      <c r="J241" s="319"/>
      <c r="K241" s="319"/>
      <c r="L241" s="825">
        <f>L242</f>
        <v>3583</v>
      </c>
      <c r="M241" s="825">
        <f>M242</f>
        <v>3853</v>
      </c>
      <c r="N241" s="825">
        <f t="shared" ref="N241:R241" si="116">N242</f>
        <v>3853</v>
      </c>
      <c r="O241" s="825">
        <f t="shared" si="116"/>
        <v>0</v>
      </c>
      <c r="P241" s="825">
        <f t="shared" si="116"/>
        <v>0</v>
      </c>
      <c r="Q241" s="825">
        <f t="shared" si="116"/>
        <v>0</v>
      </c>
      <c r="R241" s="825">
        <f t="shared" si="116"/>
        <v>3853</v>
      </c>
      <c r="S241" s="518"/>
    </row>
    <row r="242" spans="1:19" ht="81.75" customHeight="1">
      <c r="A242" s="278">
        <v>1</v>
      </c>
      <c r="B242" s="826" t="s">
        <v>488</v>
      </c>
      <c r="C242" s="278" t="s">
        <v>89</v>
      </c>
      <c r="D242" s="297" t="s">
        <v>489</v>
      </c>
      <c r="E242" s="827">
        <f>G242</f>
        <v>3853</v>
      </c>
      <c r="F242" s="827"/>
      <c r="G242" s="827">
        <f>R242</f>
        <v>3853</v>
      </c>
      <c r="H242" s="827">
        <f>L242</f>
        <v>3583</v>
      </c>
      <c r="I242" s="827"/>
      <c r="J242" s="319"/>
      <c r="K242" s="319"/>
      <c r="L242" s="827">
        <v>3583</v>
      </c>
      <c r="M242" s="827">
        <v>3853</v>
      </c>
      <c r="N242" s="827">
        <f>SUM(O242:R242)</f>
        <v>3853</v>
      </c>
      <c r="O242" s="827"/>
      <c r="P242" s="319"/>
      <c r="Q242" s="319"/>
      <c r="R242" s="827">
        <f>M242</f>
        <v>3853</v>
      </c>
      <c r="S242" s="518" t="s">
        <v>1853</v>
      </c>
    </row>
    <row r="243" spans="1:19" s="765" customFormat="1" ht="66" customHeight="1">
      <c r="A243" s="374" t="s">
        <v>98</v>
      </c>
      <c r="B243" s="764" t="s">
        <v>99</v>
      </c>
      <c r="C243" s="374"/>
      <c r="D243" s="458"/>
      <c r="E243" s="828">
        <f>E244</f>
        <v>2680</v>
      </c>
      <c r="F243" s="828"/>
      <c r="G243" s="828">
        <f t="shared" ref="G243" si="117">G244</f>
        <v>2680</v>
      </c>
      <c r="H243" s="828">
        <f>H244</f>
        <v>2680</v>
      </c>
      <c r="I243" s="828"/>
      <c r="J243" s="828"/>
      <c r="K243" s="828"/>
      <c r="L243" s="828">
        <f>L244</f>
        <v>2680</v>
      </c>
      <c r="M243" s="828">
        <f t="shared" ref="M243:R243" si="118">M244</f>
        <v>2680</v>
      </c>
      <c r="N243" s="828">
        <f t="shared" si="118"/>
        <v>2680</v>
      </c>
      <c r="O243" s="828"/>
      <c r="P243" s="828"/>
      <c r="Q243" s="828"/>
      <c r="R243" s="828">
        <f t="shared" si="118"/>
        <v>2680</v>
      </c>
      <c r="S243" s="518"/>
    </row>
    <row r="244" spans="1:19" ht="58.5" customHeight="1">
      <c r="A244" s="278">
        <v>1</v>
      </c>
      <c r="B244" s="319" t="s">
        <v>490</v>
      </c>
      <c r="C244" s="278"/>
      <c r="D244" s="297" t="s">
        <v>2150</v>
      </c>
      <c r="E244" s="827">
        <v>2680</v>
      </c>
      <c r="F244" s="827"/>
      <c r="G244" s="827">
        <f>R244</f>
        <v>2680</v>
      </c>
      <c r="H244" s="827">
        <f>L244</f>
        <v>2680</v>
      </c>
      <c r="I244" s="827"/>
      <c r="J244" s="319"/>
      <c r="K244" s="319"/>
      <c r="L244" s="827">
        <v>2680</v>
      </c>
      <c r="M244" s="827">
        <v>2680</v>
      </c>
      <c r="N244" s="827">
        <f>SUM(O244:R244)</f>
        <v>2680</v>
      </c>
      <c r="O244" s="827"/>
      <c r="P244" s="319"/>
      <c r="Q244" s="319"/>
      <c r="R244" s="827">
        <f>L244</f>
        <v>2680</v>
      </c>
      <c r="S244" s="518"/>
    </row>
    <row r="245" spans="1:19" s="762" customFormat="1" ht="84.75" customHeight="1">
      <c r="A245" s="760" t="s">
        <v>30</v>
      </c>
      <c r="B245" s="761" t="s">
        <v>106</v>
      </c>
      <c r="C245" s="290"/>
      <c r="D245" s="761"/>
      <c r="E245" s="829">
        <f>SUM(E246:E247)</f>
        <v>69703</v>
      </c>
      <c r="F245" s="829">
        <f t="shared" ref="F245:R245" si="119">SUM(F246:F247)</f>
        <v>0</v>
      </c>
      <c r="G245" s="829">
        <f t="shared" si="119"/>
        <v>15437</v>
      </c>
      <c r="H245" s="829">
        <f t="shared" ref="H245:L245" si="120">SUM(H246:H247)</f>
        <v>17437</v>
      </c>
      <c r="I245" s="829">
        <f t="shared" si="120"/>
        <v>0</v>
      </c>
      <c r="J245" s="829">
        <f t="shared" si="120"/>
        <v>0</v>
      </c>
      <c r="K245" s="829">
        <f t="shared" si="120"/>
        <v>0</v>
      </c>
      <c r="L245" s="829">
        <f t="shared" si="120"/>
        <v>17437</v>
      </c>
      <c r="M245" s="829">
        <f t="shared" si="119"/>
        <v>15437</v>
      </c>
      <c r="N245" s="829">
        <f t="shared" si="119"/>
        <v>15437</v>
      </c>
      <c r="O245" s="829">
        <f t="shared" si="119"/>
        <v>0</v>
      </c>
      <c r="P245" s="829">
        <f t="shared" si="119"/>
        <v>0</v>
      </c>
      <c r="Q245" s="829">
        <f t="shared" si="119"/>
        <v>0</v>
      </c>
      <c r="R245" s="829">
        <f t="shared" si="119"/>
        <v>15437</v>
      </c>
      <c r="S245" s="518"/>
    </row>
    <row r="246" spans="1:19" ht="144" customHeight="1">
      <c r="A246" s="766" t="s">
        <v>28</v>
      </c>
      <c r="B246" s="281" t="s">
        <v>1173</v>
      </c>
      <c r="C246" s="830" t="s">
        <v>88</v>
      </c>
      <c r="D246" s="297" t="s">
        <v>1174</v>
      </c>
      <c r="E246" s="803">
        <v>59000</v>
      </c>
      <c r="F246" s="803"/>
      <c r="G246" s="803">
        <f>R246</f>
        <v>15000</v>
      </c>
      <c r="H246" s="803">
        <f>I246+J246+K246+L246</f>
        <v>17000</v>
      </c>
      <c r="I246" s="803"/>
      <c r="J246" s="803"/>
      <c r="K246" s="803"/>
      <c r="L246" s="803">
        <v>17000</v>
      </c>
      <c r="M246" s="803">
        <v>15000</v>
      </c>
      <c r="N246" s="803">
        <f>O246+R246</f>
        <v>15000</v>
      </c>
      <c r="O246" s="803"/>
      <c r="P246" s="803"/>
      <c r="Q246" s="803"/>
      <c r="R246" s="803">
        <v>15000</v>
      </c>
      <c r="S246" s="518" t="s">
        <v>2235</v>
      </c>
    </row>
    <row r="247" spans="1:19" ht="94.5" customHeight="1">
      <c r="A247" s="278">
        <v>2</v>
      </c>
      <c r="B247" s="319" t="s">
        <v>158</v>
      </c>
      <c r="C247" s="297" t="s">
        <v>89</v>
      </c>
      <c r="D247" s="304" t="s">
        <v>159</v>
      </c>
      <c r="E247" s="329">
        <v>10703</v>
      </c>
      <c r="F247" s="831"/>
      <c r="G247" s="831">
        <f>R247</f>
        <v>437</v>
      </c>
      <c r="H247" s="803">
        <f>L247</f>
        <v>437</v>
      </c>
      <c r="I247" s="803"/>
      <c r="J247" s="803"/>
      <c r="K247" s="803"/>
      <c r="L247" s="803">
        <v>437</v>
      </c>
      <c r="M247" s="803">
        <v>437</v>
      </c>
      <c r="N247" s="803">
        <f>O247+R247</f>
        <v>437</v>
      </c>
      <c r="O247" s="803"/>
      <c r="P247" s="803"/>
      <c r="Q247" s="803"/>
      <c r="R247" s="803">
        <f>L247</f>
        <v>437</v>
      </c>
      <c r="S247" s="518"/>
    </row>
    <row r="248" spans="1:19" s="762" customFormat="1" ht="108" customHeight="1">
      <c r="A248" s="290" t="s">
        <v>2322</v>
      </c>
      <c r="B248" s="479" t="s">
        <v>2343</v>
      </c>
      <c r="C248" s="290"/>
      <c r="D248" s="761"/>
      <c r="E248" s="829">
        <f>SUM(E249:E251)</f>
        <v>155957</v>
      </c>
      <c r="F248" s="829">
        <f t="shared" ref="F248:R248" si="121">SUM(F249:F251)</f>
        <v>0</v>
      </c>
      <c r="G248" s="829">
        <f t="shared" si="121"/>
        <v>0</v>
      </c>
      <c r="H248" s="829">
        <f t="shared" si="121"/>
        <v>0</v>
      </c>
      <c r="I248" s="829">
        <f t="shared" si="121"/>
        <v>0</v>
      </c>
      <c r="J248" s="829">
        <f t="shared" si="121"/>
        <v>0</v>
      </c>
      <c r="K248" s="829">
        <f t="shared" si="121"/>
        <v>0</v>
      </c>
      <c r="L248" s="829">
        <f t="shared" si="121"/>
        <v>0</v>
      </c>
      <c r="M248" s="829">
        <f t="shared" si="121"/>
        <v>32000</v>
      </c>
      <c r="N248" s="829">
        <f t="shared" si="121"/>
        <v>32000</v>
      </c>
      <c r="O248" s="829">
        <f t="shared" si="121"/>
        <v>0</v>
      </c>
      <c r="P248" s="829">
        <f t="shared" si="121"/>
        <v>0</v>
      </c>
      <c r="Q248" s="829">
        <f t="shared" si="121"/>
        <v>0</v>
      </c>
      <c r="R248" s="829">
        <f t="shared" si="121"/>
        <v>32000</v>
      </c>
      <c r="S248" s="518"/>
    </row>
    <row r="249" spans="1:19" ht="89.25" customHeight="1">
      <c r="A249" s="278">
        <v>1</v>
      </c>
      <c r="B249" s="480" t="s">
        <v>2210</v>
      </c>
      <c r="C249" s="278" t="s">
        <v>89</v>
      </c>
      <c r="D249" s="832" t="s">
        <v>2211</v>
      </c>
      <c r="E249" s="483">
        <v>39642</v>
      </c>
      <c r="F249" s="781"/>
      <c r="G249" s="781"/>
      <c r="H249" s="319"/>
      <c r="I249" s="319"/>
      <c r="J249" s="319"/>
      <c r="K249" s="319"/>
      <c r="L249" s="319"/>
      <c r="M249" s="833">
        <v>10310</v>
      </c>
      <c r="N249" s="309">
        <f>O249+R249</f>
        <v>10310</v>
      </c>
      <c r="O249" s="319"/>
      <c r="P249" s="319"/>
      <c r="Q249" s="319"/>
      <c r="R249" s="309">
        <f>M249</f>
        <v>10310</v>
      </c>
      <c r="S249" s="518"/>
    </row>
    <row r="250" spans="1:19" ht="93.75" customHeight="1">
      <c r="A250" s="278">
        <v>2</v>
      </c>
      <c r="B250" s="481" t="s">
        <v>2323</v>
      </c>
      <c r="C250" s="278" t="s">
        <v>89</v>
      </c>
      <c r="D250" s="834" t="s">
        <v>2325</v>
      </c>
      <c r="E250" s="483">
        <v>50000</v>
      </c>
      <c r="F250" s="781"/>
      <c r="G250" s="781"/>
      <c r="H250" s="781"/>
      <c r="I250" s="781"/>
      <c r="J250" s="781"/>
      <c r="K250" s="781"/>
      <c r="L250" s="781"/>
      <c r="M250" s="833">
        <v>9000</v>
      </c>
      <c r="N250" s="309">
        <f t="shared" ref="N250:N251" si="122">O250+R250</f>
        <v>9000</v>
      </c>
      <c r="O250" s="781"/>
      <c r="P250" s="781"/>
      <c r="Q250" s="781"/>
      <c r="R250" s="309">
        <f t="shared" ref="R250:R251" si="123">M250</f>
        <v>9000</v>
      </c>
      <c r="S250" s="290"/>
    </row>
    <row r="251" spans="1:19" ht="69.75">
      <c r="A251" s="278">
        <v>3</v>
      </c>
      <c r="B251" s="482" t="s">
        <v>2324</v>
      </c>
      <c r="C251" s="278" t="s">
        <v>89</v>
      </c>
      <c r="D251" s="834" t="s">
        <v>2326</v>
      </c>
      <c r="E251" s="483">
        <v>66315</v>
      </c>
      <c r="F251" s="781"/>
      <c r="G251" s="781"/>
      <c r="H251" s="781"/>
      <c r="I251" s="781"/>
      <c r="J251" s="781"/>
      <c r="K251" s="781"/>
      <c r="L251" s="781"/>
      <c r="M251" s="833">
        <v>12690</v>
      </c>
      <c r="N251" s="309">
        <f t="shared" si="122"/>
        <v>12690</v>
      </c>
      <c r="O251" s="781"/>
      <c r="P251" s="781"/>
      <c r="Q251" s="781"/>
      <c r="R251" s="309">
        <f t="shared" si="123"/>
        <v>12690</v>
      </c>
      <c r="S251" s="290"/>
    </row>
    <row r="252" spans="1:19">
      <c r="A252" s="736"/>
      <c r="D252" s="736"/>
      <c r="E252" s="736"/>
      <c r="F252" s="736"/>
      <c r="G252" s="736"/>
      <c r="H252" s="736"/>
      <c r="I252" s="736"/>
      <c r="J252" s="736"/>
      <c r="K252" s="736"/>
      <c r="L252" s="736"/>
      <c r="N252" s="736"/>
      <c r="O252" s="736"/>
      <c r="P252" s="736"/>
      <c r="Q252" s="736"/>
      <c r="R252" s="736"/>
    </row>
    <row r="253" spans="1:19">
      <c r="A253" s="736"/>
      <c r="D253" s="736"/>
      <c r="E253" s="736"/>
      <c r="F253" s="736"/>
      <c r="G253" s="736"/>
      <c r="H253" s="736"/>
      <c r="I253" s="736"/>
      <c r="J253" s="736"/>
      <c r="K253" s="736"/>
      <c r="L253" s="736"/>
      <c r="N253" s="736"/>
      <c r="O253" s="736"/>
      <c r="P253" s="736"/>
      <c r="Q253" s="736"/>
      <c r="R253" s="736"/>
    </row>
    <row r="254" spans="1:19">
      <c r="A254" s="736"/>
      <c r="D254" s="736"/>
      <c r="E254" s="736"/>
      <c r="F254" s="736"/>
      <c r="G254" s="736"/>
      <c r="H254" s="736"/>
      <c r="I254" s="736"/>
      <c r="J254" s="736"/>
      <c r="K254" s="736"/>
      <c r="L254" s="736"/>
      <c r="N254" s="736"/>
      <c r="O254" s="736"/>
      <c r="P254" s="736"/>
      <c r="Q254" s="736"/>
      <c r="R254" s="736"/>
    </row>
    <row r="255" spans="1:19">
      <c r="A255" s="736"/>
      <c r="D255" s="736"/>
      <c r="E255" s="736"/>
      <c r="F255" s="736"/>
      <c r="G255" s="736"/>
      <c r="H255" s="736"/>
      <c r="I255" s="736"/>
      <c r="J255" s="736"/>
      <c r="K255" s="736"/>
      <c r="L255" s="736"/>
      <c r="N255" s="736"/>
      <c r="O255" s="736"/>
      <c r="P255" s="736"/>
      <c r="Q255" s="736"/>
      <c r="R255" s="736"/>
    </row>
    <row r="256" spans="1:19">
      <c r="A256" s="736"/>
      <c r="D256" s="736"/>
      <c r="E256" s="736"/>
      <c r="F256" s="736"/>
      <c r="G256" s="736"/>
      <c r="H256" s="736"/>
      <c r="I256" s="736"/>
      <c r="J256" s="736"/>
      <c r="K256" s="736"/>
      <c r="L256" s="736"/>
      <c r="N256" s="736"/>
      <c r="O256" s="736"/>
      <c r="P256" s="736"/>
      <c r="Q256" s="736"/>
      <c r="R256" s="736"/>
      <c r="S256" s="762"/>
    </row>
    <row r="257" spans="3:19" s="736" customFormat="1">
      <c r="C257" s="835"/>
      <c r="M257" s="836"/>
      <c r="S257" s="762"/>
    </row>
    <row r="258" spans="3:19" s="736" customFormat="1">
      <c r="C258" s="835"/>
      <c r="M258" s="836"/>
      <c r="S258" s="762"/>
    </row>
    <row r="259" spans="3:19" s="736" customFormat="1">
      <c r="C259" s="835"/>
      <c r="M259" s="836"/>
      <c r="S259" s="762"/>
    </row>
    <row r="260" spans="3:19" s="736" customFormat="1">
      <c r="C260" s="835"/>
      <c r="M260" s="836"/>
      <c r="S260" s="762"/>
    </row>
    <row r="261" spans="3:19" s="736" customFormat="1">
      <c r="C261" s="835"/>
      <c r="M261" s="836"/>
      <c r="S261" s="762"/>
    </row>
    <row r="262" spans="3:19" s="736" customFormat="1">
      <c r="C262" s="835"/>
      <c r="M262" s="836"/>
      <c r="S262" s="762"/>
    </row>
    <row r="263" spans="3:19" s="736" customFormat="1">
      <c r="C263" s="835"/>
      <c r="M263" s="836"/>
      <c r="S263" s="762"/>
    </row>
    <row r="264" spans="3:19" s="736" customFormat="1">
      <c r="C264" s="835"/>
      <c r="M264" s="836"/>
      <c r="S264" s="762"/>
    </row>
    <row r="265" spans="3:19" s="736" customFormat="1">
      <c r="C265" s="835"/>
      <c r="M265" s="836"/>
      <c r="S265" s="762"/>
    </row>
    <row r="266" spans="3:19" s="736" customFormat="1">
      <c r="C266" s="835"/>
      <c r="M266" s="836"/>
      <c r="S266" s="762"/>
    </row>
    <row r="267" spans="3:19" s="736" customFormat="1">
      <c r="C267" s="835"/>
      <c r="M267" s="836"/>
      <c r="S267" s="762"/>
    </row>
    <row r="268" spans="3:19" s="736" customFormat="1">
      <c r="C268" s="835"/>
      <c r="M268" s="836"/>
      <c r="S268" s="762"/>
    </row>
    <row r="269" spans="3:19" s="736" customFormat="1">
      <c r="C269" s="835"/>
      <c r="M269" s="836"/>
      <c r="S269" s="762"/>
    </row>
    <row r="270" spans="3:19" s="736" customFormat="1">
      <c r="C270" s="835"/>
      <c r="M270" s="836"/>
      <c r="S270" s="762"/>
    </row>
    <row r="271" spans="3:19" s="736" customFormat="1">
      <c r="C271" s="835"/>
      <c r="M271" s="836"/>
      <c r="S271" s="762"/>
    </row>
    <row r="272" spans="3:19" s="736" customFormat="1">
      <c r="C272" s="835"/>
      <c r="M272" s="836"/>
      <c r="S272" s="762"/>
    </row>
    <row r="273" spans="3:19" s="736" customFormat="1">
      <c r="C273" s="835"/>
      <c r="M273" s="836"/>
      <c r="S273" s="762"/>
    </row>
    <row r="274" spans="3:19" s="736" customFormat="1">
      <c r="C274" s="835"/>
      <c r="M274" s="836"/>
      <c r="S274" s="762"/>
    </row>
    <row r="275" spans="3:19" s="736" customFormat="1">
      <c r="C275" s="835"/>
      <c r="M275" s="836"/>
      <c r="S275" s="762"/>
    </row>
    <row r="276" spans="3:19" s="736" customFormat="1">
      <c r="C276" s="835"/>
      <c r="M276" s="836"/>
      <c r="S276" s="762"/>
    </row>
    <row r="277" spans="3:19" s="736" customFormat="1">
      <c r="C277" s="835"/>
      <c r="M277" s="836"/>
      <c r="S277" s="762"/>
    </row>
    <row r="278" spans="3:19" s="736" customFormat="1">
      <c r="C278" s="835"/>
      <c r="M278" s="836"/>
      <c r="S278" s="762"/>
    </row>
    <row r="279" spans="3:19" s="736" customFormat="1">
      <c r="C279" s="835"/>
      <c r="M279" s="836"/>
      <c r="S279" s="762"/>
    </row>
    <row r="280" spans="3:19" s="736" customFormat="1">
      <c r="C280" s="835"/>
      <c r="M280" s="836"/>
      <c r="S280" s="762"/>
    </row>
    <row r="281" spans="3:19" s="736" customFormat="1">
      <c r="C281" s="835"/>
      <c r="M281" s="836"/>
      <c r="S281" s="762"/>
    </row>
    <row r="282" spans="3:19" s="736" customFormat="1">
      <c r="C282" s="835"/>
      <c r="M282" s="836"/>
      <c r="S282" s="762"/>
    </row>
    <row r="283" spans="3:19" s="736" customFormat="1">
      <c r="C283" s="835"/>
      <c r="M283" s="836"/>
      <c r="S283" s="762"/>
    </row>
    <row r="284" spans="3:19" s="736" customFormat="1">
      <c r="C284" s="835"/>
      <c r="M284" s="836"/>
      <c r="S284" s="762"/>
    </row>
    <row r="285" spans="3:19" s="736" customFormat="1">
      <c r="C285" s="835"/>
      <c r="M285" s="836"/>
      <c r="S285" s="762"/>
    </row>
    <row r="286" spans="3:19" s="736" customFormat="1">
      <c r="C286" s="835"/>
      <c r="M286" s="836"/>
      <c r="S286" s="762"/>
    </row>
    <row r="287" spans="3:19" s="736" customFormat="1">
      <c r="C287" s="835"/>
      <c r="M287" s="836"/>
      <c r="S287" s="762"/>
    </row>
    <row r="288" spans="3:19" s="736" customFormat="1">
      <c r="C288" s="835"/>
      <c r="M288" s="836"/>
      <c r="S288" s="762"/>
    </row>
    <row r="289" spans="3:19" s="736" customFormat="1">
      <c r="C289" s="835"/>
      <c r="M289" s="836"/>
      <c r="S289" s="762"/>
    </row>
    <row r="290" spans="3:19" s="736" customFormat="1">
      <c r="C290" s="835"/>
      <c r="M290" s="836"/>
      <c r="S290" s="762"/>
    </row>
    <row r="291" spans="3:19" s="736" customFormat="1">
      <c r="C291" s="835"/>
      <c r="M291" s="836"/>
      <c r="S291" s="762"/>
    </row>
    <row r="292" spans="3:19" s="736" customFormat="1">
      <c r="C292" s="835"/>
      <c r="M292" s="836"/>
      <c r="S292" s="762"/>
    </row>
    <row r="293" spans="3:19" s="736" customFormat="1">
      <c r="C293" s="835"/>
      <c r="M293" s="836"/>
      <c r="S293" s="762"/>
    </row>
    <row r="294" spans="3:19" s="736" customFormat="1">
      <c r="C294" s="835"/>
      <c r="M294" s="836"/>
      <c r="S294" s="762"/>
    </row>
    <row r="295" spans="3:19" s="736" customFormat="1">
      <c r="C295" s="835"/>
      <c r="M295" s="836"/>
      <c r="S295" s="762"/>
    </row>
    <row r="296" spans="3:19" s="736" customFormat="1">
      <c r="C296" s="835"/>
      <c r="M296" s="836"/>
      <c r="S296" s="762"/>
    </row>
    <row r="297" spans="3:19" s="736" customFormat="1">
      <c r="C297" s="835"/>
      <c r="M297" s="836"/>
      <c r="S297" s="762"/>
    </row>
    <row r="298" spans="3:19" s="736" customFormat="1">
      <c r="C298" s="835"/>
      <c r="M298" s="836"/>
      <c r="S298" s="762"/>
    </row>
    <row r="299" spans="3:19" s="736" customFormat="1">
      <c r="C299" s="835"/>
      <c r="M299" s="836"/>
      <c r="S299" s="762"/>
    </row>
    <row r="300" spans="3:19" s="736" customFormat="1">
      <c r="C300" s="835"/>
      <c r="M300" s="836"/>
      <c r="S300" s="762"/>
    </row>
    <row r="301" spans="3:19" s="736" customFormat="1">
      <c r="C301" s="835"/>
      <c r="M301" s="836"/>
      <c r="S301" s="762"/>
    </row>
    <row r="302" spans="3:19" s="736" customFormat="1">
      <c r="C302" s="835"/>
      <c r="M302" s="836"/>
      <c r="S302" s="762"/>
    </row>
    <row r="303" spans="3:19" s="736" customFormat="1">
      <c r="C303" s="835"/>
      <c r="M303" s="836"/>
      <c r="S303" s="762"/>
    </row>
    <row r="304" spans="3:19" s="736" customFormat="1">
      <c r="C304" s="835"/>
      <c r="M304" s="836"/>
      <c r="S304" s="762"/>
    </row>
    <row r="305" spans="3:19" s="736" customFormat="1">
      <c r="C305" s="835"/>
      <c r="M305" s="836"/>
      <c r="S305" s="762"/>
    </row>
    <row r="306" spans="3:19" s="736" customFormat="1">
      <c r="C306" s="835"/>
      <c r="M306" s="836"/>
      <c r="S306" s="762"/>
    </row>
    <row r="307" spans="3:19" s="736" customFormat="1">
      <c r="C307" s="835"/>
      <c r="M307" s="836"/>
      <c r="S307" s="762"/>
    </row>
    <row r="308" spans="3:19" s="736" customFormat="1">
      <c r="C308" s="835"/>
      <c r="M308" s="836"/>
      <c r="S308" s="762"/>
    </row>
    <row r="309" spans="3:19" s="736" customFormat="1">
      <c r="C309" s="835"/>
      <c r="M309" s="836"/>
      <c r="S309" s="762"/>
    </row>
    <row r="310" spans="3:19" s="736" customFormat="1">
      <c r="C310" s="835"/>
      <c r="M310" s="836"/>
      <c r="S310" s="762"/>
    </row>
    <row r="311" spans="3:19" s="736" customFormat="1">
      <c r="C311" s="835"/>
      <c r="M311" s="836"/>
      <c r="S311" s="762"/>
    </row>
    <row r="312" spans="3:19" s="736" customFormat="1">
      <c r="C312" s="835"/>
      <c r="M312" s="836"/>
      <c r="S312" s="762"/>
    </row>
    <row r="313" spans="3:19" s="736" customFormat="1">
      <c r="C313" s="835"/>
      <c r="M313" s="836"/>
      <c r="S313" s="762"/>
    </row>
    <row r="314" spans="3:19" s="736" customFormat="1">
      <c r="C314" s="835"/>
      <c r="M314" s="836"/>
      <c r="S314" s="762"/>
    </row>
    <row r="315" spans="3:19" s="736" customFormat="1">
      <c r="C315" s="835"/>
      <c r="M315" s="836"/>
      <c r="S315" s="762"/>
    </row>
    <row r="316" spans="3:19" s="736" customFormat="1">
      <c r="C316" s="835"/>
      <c r="M316" s="836"/>
      <c r="S316" s="762"/>
    </row>
    <row r="317" spans="3:19" s="736" customFormat="1">
      <c r="C317" s="835"/>
      <c r="M317" s="836"/>
      <c r="S317" s="762"/>
    </row>
    <row r="318" spans="3:19" s="736" customFormat="1">
      <c r="C318" s="835"/>
      <c r="M318" s="836"/>
      <c r="S318" s="762"/>
    </row>
    <row r="319" spans="3:19" s="736" customFormat="1">
      <c r="C319" s="835"/>
      <c r="M319" s="836"/>
      <c r="S319" s="762"/>
    </row>
    <row r="320" spans="3:19" s="736" customFormat="1">
      <c r="C320" s="835"/>
      <c r="M320" s="836"/>
      <c r="S320" s="762"/>
    </row>
    <row r="321" spans="3:19" s="736" customFormat="1">
      <c r="C321" s="835"/>
      <c r="M321" s="836"/>
      <c r="S321" s="762"/>
    </row>
    <row r="322" spans="3:19" s="736" customFormat="1">
      <c r="C322" s="835"/>
      <c r="M322" s="836"/>
      <c r="S322" s="762"/>
    </row>
    <row r="323" spans="3:19" s="736" customFormat="1">
      <c r="C323" s="835"/>
      <c r="M323" s="836"/>
      <c r="S323" s="762"/>
    </row>
    <row r="324" spans="3:19" s="736" customFormat="1">
      <c r="C324" s="835"/>
      <c r="M324" s="836"/>
      <c r="S324" s="762"/>
    </row>
    <row r="325" spans="3:19" s="736" customFormat="1">
      <c r="C325" s="835"/>
      <c r="M325" s="836"/>
      <c r="S325" s="762"/>
    </row>
    <row r="326" spans="3:19" s="736" customFormat="1">
      <c r="C326" s="835"/>
      <c r="M326" s="836"/>
      <c r="S326" s="762"/>
    </row>
    <row r="327" spans="3:19" s="736" customFormat="1">
      <c r="C327" s="835"/>
      <c r="M327" s="836"/>
      <c r="S327" s="762"/>
    </row>
    <row r="328" spans="3:19" s="736" customFormat="1">
      <c r="C328" s="835"/>
      <c r="M328" s="836"/>
      <c r="S328" s="762"/>
    </row>
    <row r="329" spans="3:19" s="736" customFormat="1">
      <c r="C329" s="835"/>
      <c r="M329" s="836"/>
      <c r="S329" s="762"/>
    </row>
    <row r="330" spans="3:19" s="736" customFormat="1">
      <c r="C330" s="835"/>
      <c r="M330" s="836"/>
      <c r="S330" s="762"/>
    </row>
    <row r="331" spans="3:19" s="736" customFormat="1">
      <c r="C331" s="835"/>
      <c r="M331" s="836"/>
      <c r="S331" s="762"/>
    </row>
    <row r="332" spans="3:19" s="736" customFormat="1">
      <c r="C332" s="835"/>
      <c r="M332" s="836"/>
      <c r="S332" s="762"/>
    </row>
    <row r="333" spans="3:19" s="736" customFormat="1">
      <c r="C333" s="835"/>
      <c r="M333" s="836"/>
      <c r="S333" s="762"/>
    </row>
    <row r="334" spans="3:19" s="736" customFormat="1">
      <c r="C334" s="835"/>
      <c r="M334" s="836"/>
      <c r="S334" s="762"/>
    </row>
    <row r="335" spans="3:19" s="736" customFormat="1">
      <c r="C335" s="835"/>
      <c r="M335" s="836"/>
      <c r="S335" s="762"/>
    </row>
    <row r="336" spans="3:19" s="736" customFormat="1">
      <c r="C336" s="835"/>
      <c r="M336" s="836"/>
      <c r="S336" s="762"/>
    </row>
    <row r="337" spans="3:19" s="736" customFormat="1">
      <c r="C337" s="835"/>
      <c r="M337" s="836"/>
      <c r="S337" s="762"/>
    </row>
    <row r="338" spans="3:19" s="736" customFormat="1">
      <c r="C338" s="835"/>
      <c r="M338" s="836"/>
      <c r="S338" s="762"/>
    </row>
    <row r="339" spans="3:19" s="736" customFormat="1">
      <c r="C339" s="835"/>
      <c r="M339" s="836"/>
      <c r="S339" s="762"/>
    </row>
    <row r="340" spans="3:19" s="736" customFormat="1">
      <c r="C340" s="835"/>
      <c r="M340" s="836"/>
      <c r="S340" s="762"/>
    </row>
    <row r="341" spans="3:19" s="736" customFormat="1">
      <c r="C341" s="835"/>
      <c r="M341" s="836"/>
      <c r="S341" s="762"/>
    </row>
    <row r="342" spans="3:19" s="736" customFormat="1">
      <c r="C342" s="835"/>
      <c r="M342" s="836"/>
      <c r="S342" s="762"/>
    </row>
    <row r="343" spans="3:19" s="736" customFormat="1">
      <c r="C343" s="835"/>
      <c r="M343" s="836"/>
      <c r="S343" s="762"/>
    </row>
    <row r="344" spans="3:19" s="736" customFormat="1">
      <c r="C344" s="835"/>
      <c r="M344" s="836"/>
      <c r="S344" s="762"/>
    </row>
    <row r="345" spans="3:19" s="736" customFormat="1">
      <c r="C345" s="835"/>
      <c r="M345" s="836"/>
      <c r="S345" s="762"/>
    </row>
    <row r="346" spans="3:19" s="736" customFormat="1">
      <c r="C346" s="835"/>
      <c r="M346" s="836"/>
      <c r="S346" s="762"/>
    </row>
    <row r="347" spans="3:19" s="736" customFormat="1">
      <c r="C347" s="835"/>
      <c r="M347" s="836"/>
      <c r="S347" s="762"/>
    </row>
    <row r="348" spans="3:19" s="736" customFormat="1">
      <c r="C348" s="835"/>
      <c r="M348" s="836"/>
      <c r="S348" s="762"/>
    </row>
    <row r="349" spans="3:19" s="736" customFormat="1">
      <c r="C349" s="835"/>
      <c r="M349" s="836"/>
      <c r="S349" s="762"/>
    </row>
    <row r="350" spans="3:19" s="736" customFormat="1">
      <c r="C350" s="835"/>
      <c r="M350" s="836"/>
      <c r="S350" s="762"/>
    </row>
    <row r="351" spans="3:19" s="736" customFormat="1">
      <c r="C351" s="835"/>
      <c r="M351" s="836"/>
      <c r="S351" s="762"/>
    </row>
    <row r="352" spans="3:19" s="736" customFormat="1">
      <c r="C352" s="835"/>
      <c r="M352" s="836"/>
      <c r="S352" s="762"/>
    </row>
    <row r="353" spans="3:19" s="736" customFormat="1">
      <c r="C353" s="835"/>
      <c r="M353" s="836"/>
      <c r="S353" s="762"/>
    </row>
    <row r="354" spans="3:19" s="736" customFormat="1">
      <c r="C354" s="835"/>
      <c r="M354" s="836"/>
      <c r="S354" s="762"/>
    </row>
    <row r="355" spans="3:19" s="736" customFormat="1">
      <c r="C355" s="835"/>
      <c r="M355" s="836"/>
      <c r="S355" s="762"/>
    </row>
    <row r="356" spans="3:19" s="736" customFormat="1">
      <c r="C356" s="835"/>
      <c r="M356" s="836"/>
      <c r="S356" s="762"/>
    </row>
    <row r="357" spans="3:19" s="736" customFormat="1">
      <c r="C357" s="835"/>
      <c r="M357" s="836"/>
      <c r="S357" s="762"/>
    </row>
    <row r="358" spans="3:19" s="736" customFormat="1">
      <c r="C358" s="835"/>
      <c r="M358" s="836"/>
      <c r="S358" s="762"/>
    </row>
    <row r="359" spans="3:19" s="736" customFormat="1">
      <c r="C359" s="835"/>
      <c r="M359" s="836"/>
      <c r="S359" s="762"/>
    </row>
    <row r="360" spans="3:19" s="736" customFormat="1">
      <c r="C360" s="835"/>
      <c r="M360" s="836"/>
      <c r="S360" s="762"/>
    </row>
    <row r="361" spans="3:19" s="736" customFormat="1">
      <c r="C361" s="835"/>
      <c r="M361" s="836"/>
      <c r="S361" s="762"/>
    </row>
    <row r="362" spans="3:19" s="736" customFormat="1">
      <c r="C362" s="835"/>
      <c r="M362" s="836"/>
      <c r="S362" s="762"/>
    </row>
    <row r="363" spans="3:19" s="736" customFormat="1">
      <c r="C363" s="835"/>
      <c r="M363" s="836"/>
      <c r="S363" s="762"/>
    </row>
    <row r="364" spans="3:19" s="736" customFormat="1">
      <c r="C364" s="835"/>
      <c r="M364" s="836"/>
      <c r="S364" s="762"/>
    </row>
    <row r="365" spans="3:19" s="736" customFormat="1">
      <c r="C365" s="835"/>
      <c r="M365" s="836"/>
      <c r="S365" s="762"/>
    </row>
    <row r="366" spans="3:19" s="736" customFormat="1">
      <c r="C366" s="835"/>
      <c r="M366" s="836"/>
      <c r="S366" s="762"/>
    </row>
    <row r="367" spans="3:19" s="736" customFormat="1">
      <c r="C367" s="835"/>
      <c r="M367" s="836"/>
      <c r="S367" s="762"/>
    </row>
    <row r="368" spans="3:19" s="736" customFormat="1">
      <c r="C368" s="835"/>
      <c r="M368" s="836"/>
      <c r="S368" s="762"/>
    </row>
    <row r="369" spans="3:19" s="736" customFormat="1">
      <c r="C369" s="835"/>
      <c r="M369" s="836"/>
      <c r="S369" s="762"/>
    </row>
    <row r="370" spans="3:19" s="736" customFormat="1">
      <c r="C370" s="835"/>
      <c r="M370" s="836"/>
      <c r="S370" s="762"/>
    </row>
    <row r="371" spans="3:19" s="736" customFormat="1">
      <c r="C371" s="835"/>
      <c r="M371" s="836"/>
      <c r="S371" s="762"/>
    </row>
    <row r="372" spans="3:19" s="736" customFormat="1">
      <c r="C372" s="835"/>
      <c r="M372" s="836"/>
      <c r="S372" s="762"/>
    </row>
    <row r="373" spans="3:19" s="736" customFormat="1">
      <c r="C373" s="835"/>
      <c r="M373" s="836"/>
      <c r="S373" s="762"/>
    </row>
    <row r="374" spans="3:19" s="736" customFormat="1">
      <c r="C374" s="835"/>
      <c r="M374" s="836"/>
      <c r="S374" s="762"/>
    </row>
    <row r="375" spans="3:19" s="736" customFormat="1">
      <c r="C375" s="835"/>
      <c r="M375" s="836"/>
      <c r="S375" s="762"/>
    </row>
    <row r="376" spans="3:19" s="736" customFormat="1">
      <c r="C376" s="835"/>
      <c r="M376" s="836"/>
      <c r="S376" s="762"/>
    </row>
    <row r="377" spans="3:19" s="736" customFormat="1">
      <c r="C377" s="835"/>
      <c r="M377" s="836"/>
      <c r="S377" s="762"/>
    </row>
    <row r="378" spans="3:19" s="736" customFormat="1">
      <c r="C378" s="835"/>
      <c r="M378" s="836"/>
      <c r="S378" s="762"/>
    </row>
    <row r="379" spans="3:19" s="736" customFormat="1">
      <c r="C379" s="835"/>
      <c r="M379" s="836"/>
      <c r="S379" s="762"/>
    </row>
    <row r="380" spans="3:19" s="736" customFormat="1">
      <c r="C380" s="835"/>
      <c r="M380" s="836"/>
      <c r="S380" s="762"/>
    </row>
    <row r="381" spans="3:19" s="736" customFormat="1">
      <c r="C381" s="835"/>
      <c r="M381" s="836"/>
      <c r="S381" s="762"/>
    </row>
    <row r="382" spans="3:19" s="736" customFormat="1">
      <c r="C382" s="835"/>
      <c r="M382" s="836"/>
      <c r="S382" s="762"/>
    </row>
    <row r="383" spans="3:19" s="736" customFormat="1">
      <c r="C383" s="835"/>
      <c r="M383" s="836"/>
      <c r="S383" s="762"/>
    </row>
    <row r="384" spans="3:19" s="736" customFormat="1">
      <c r="C384" s="835"/>
      <c r="M384" s="836"/>
      <c r="S384" s="762"/>
    </row>
    <row r="385" spans="3:19" s="736" customFormat="1">
      <c r="C385" s="835"/>
      <c r="M385" s="836"/>
      <c r="S385" s="762"/>
    </row>
    <row r="386" spans="3:19" s="736" customFormat="1">
      <c r="C386" s="835"/>
      <c r="M386" s="836"/>
      <c r="S386" s="762"/>
    </row>
    <row r="387" spans="3:19" s="736" customFormat="1">
      <c r="C387" s="835"/>
      <c r="M387" s="836"/>
      <c r="S387" s="762"/>
    </row>
    <row r="388" spans="3:19" s="736" customFormat="1">
      <c r="C388" s="835"/>
      <c r="M388" s="836"/>
      <c r="S388" s="762"/>
    </row>
    <row r="389" spans="3:19" s="736" customFormat="1">
      <c r="C389" s="835"/>
      <c r="M389" s="836"/>
      <c r="S389" s="762"/>
    </row>
    <row r="390" spans="3:19" s="736" customFormat="1">
      <c r="C390" s="835"/>
      <c r="M390" s="836"/>
      <c r="S390" s="762"/>
    </row>
    <row r="391" spans="3:19" s="736" customFormat="1">
      <c r="C391" s="835"/>
      <c r="M391" s="836"/>
      <c r="S391" s="762"/>
    </row>
    <row r="392" spans="3:19" s="736" customFormat="1">
      <c r="C392" s="835"/>
      <c r="M392" s="836"/>
      <c r="S392" s="762"/>
    </row>
    <row r="393" spans="3:19" s="736" customFormat="1">
      <c r="C393" s="835"/>
      <c r="M393" s="836"/>
      <c r="S393" s="762"/>
    </row>
    <row r="394" spans="3:19" s="736" customFormat="1">
      <c r="C394" s="835"/>
      <c r="M394" s="836"/>
      <c r="S394" s="762"/>
    </row>
    <row r="395" spans="3:19" s="736" customFormat="1">
      <c r="C395" s="835"/>
      <c r="M395" s="836"/>
      <c r="S395" s="762"/>
    </row>
    <row r="396" spans="3:19" s="736" customFormat="1">
      <c r="C396" s="835"/>
      <c r="M396" s="836"/>
      <c r="S396" s="762"/>
    </row>
    <row r="397" spans="3:19" s="736" customFormat="1">
      <c r="C397" s="835"/>
      <c r="M397" s="836"/>
      <c r="S397" s="762"/>
    </row>
    <row r="398" spans="3:19" s="736" customFormat="1">
      <c r="C398" s="835"/>
      <c r="M398" s="836"/>
      <c r="S398" s="762"/>
    </row>
    <row r="399" spans="3:19" s="736" customFormat="1">
      <c r="C399" s="835"/>
      <c r="M399" s="836"/>
      <c r="S399" s="762"/>
    </row>
    <row r="400" spans="3:19" s="736" customFormat="1">
      <c r="C400" s="835"/>
      <c r="M400" s="836"/>
      <c r="S400" s="762"/>
    </row>
    <row r="401" spans="3:19" s="736" customFormat="1">
      <c r="C401" s="835"/>
      <c r="M401" s="836"/>
      <c r="S401" s="762"/>
    </row>
    <row r="402" spans="3:19" s="736" customFormat="1">
      <c r="C402" s="835"/>
      <c r="M402" s="836"/>
      <c r="S402" s="762"/>
    </row>
    <row r="403" spans="3:19" s="736" customFormat="1">
      <c r="C403" s="835"/>
      <c r="M403" s="836"/>
      <c r="S403" s="762"/>
    </row>
    <row r="404" spans="3:19" s="736" customFormat="1">
      <c r="C404" s="835"/>
      <c r="M404" s="836"/>
      <c r="S404" s="762"/>
    </row>
    <row r="405" spans="3:19" s="736" customFormat="1">
      <c r="C405" s="835"/>
      <c r="M405" s="836"/>
      <c r="S405" s="762"/>
    </row>
    <row r="406" spans="3:19" s="736" customFormat="1">
      <c r="C406" s="835"/>
      <c r="M406" s="836"/>
      <c r="S406" s="762"/>
    </row>
    <row r="407" spans="3:19" s="736" customFormat="1">
      <c r="C407" s="835"/>
      <c r="M407" s="836"/>
      <c r="S407" s="762"/>
    </row>
    <row r="408" spans="3:19" s="736" customFormat="1">
      <c r="C408" s="835"/>
      <c r="M408" s="836"/>
      <c r="S408" s="762"/>
    </row>
    <row r="409" spans="3:19" s="736" customFormat="1">
      <c r="C409" s="835"/>
      <c r="M409" s="836"/>
      <c r="S409" s="762"/>
    </row>
    <row r="410" spans="3:19" s="736" customFormat="1">
      <c r="C410" s="835"/>
      <c r="M410" s="836"/>
      <c r="S410" s="762"/>
    </row>
    <row r="411" spans="3:19" s="736" customFormat="1">
      <c r="C411" s="835"/>
      <c r="M411" s="836"/>
      <c r="S411" s="762"/>
    </row>
    <row r="412" spans="3:19" s="736" customFormat="1">
      <c r="C412" s="835"/>
      <c r="M412" s="836"/>
      <c r="S412" s="762"/>
    </row>
    <row r="413" spans="3:19" s="736" customFormat="1">
      <c r="C413" s="835"/>
      <c r="M413" s="836"/>
      <c r="S413" s="762"/>
    </row>
    <row r="414" spans="3:19" s="736" customFormat="1">
      <c r="C414" s="835"/>
      <c r="M414" s="836"/>
      <c r="S414" s="762"/>
    </row>
    <row r="415" spans="3:19" s="736" customFormat="1">
      <c r="C415" s="835"/>
      <c r="M415" s="836"/>
      <c r="S415" s="762"/>
    </row>
    <row r="416" spans="3:19" s="736" customFormat="1">
      <c r="C416" s="835"/>
      <c r="M416" s="836"/>
      <c r="S416" s="762"/>
    </row>
    <row r="417" spans="3:19" s="736" customFormat="1">
      <c r="C417" s="835"/>
      <c r="M417" s="836"/>
      <c r="S417" s="762"/>
    </row>
    <row r="418" spans="3:19" s="736" customFormat="1">
      <c r="C418" s="835"/>
      <c r="M418" s="836"/>
      <c r="S418" s="762"/>
    </row>
    <row r="419" spans="3:19" s="736" customFormat="1">
      <c r="C419" s="835"/>
      <c r="M419" s="836"/>
      <c r="S419" s="762"/>
    </row>
    <row r="420" spans="3:19" s="736" customFormat="1">
      <c r="C420" s="835"/>
      <c r="M420" s="836"/>
      <c r="S420" s="762"/>
    </row>
    <row r="421" spans="3:19" s="736" customFormat="1">
      <c r="C421" s="835"/>
      <c r="M421" s="836"/>
      <c r="S421" s="762"/>
    </row>
    <row r="422" spans="3:19" s="736" customFormat="1">
      <c r="C422" s="835"/>
      <c r="M422" s="836"/>
      <c r="S422" s="762"/>
    </row>
    <row r="423" spans="3:19" s="736" customFormat="1">
      <c r="C423" s="835"/>
      <c r="M423" s="836"/>
      <c r="S423" s="762"/>
    </row>
    <row r="424" spans="3:19" s="736" customFormat="1">
      <c r="C424" s="835"/>
      <c r="M424" s="836"/>
      <c r="S424" s="762"/>
    </row>
    <row r="425" spans="3:19" s="736" customFormat="1">
      <c r="C425" s="835"/>
      <c r="M425" s="836"/>
      <c r="S425" s="762"/>
    </row>
    <row r="426" spans="3:19" s="736" customFormat="1">
      <c r="C426" s="835"/>
      <c r="M426" s="836"/>
      <c r="S426" s="762"/>
    </row>
    <row r="427" spans="3:19" s="736" customFormat="1">
      <c r="C427" s="835"/>
      <c r="M427" s="836"/>
      <c r="S427" s="762"/>
    </row>
    <row r="428" spans="3:19" s="736" customFormat="1">
      <c r="C428" s="835"/>
      <c r="M428" s="836"/>
      <c r="S428" s="762"/>
    </row>
    <row r="429" spans="3:19" s="736" customFormat="1">
      <c r="C429" s="835"/>
      <c r="M429" s="836"/>
      <c r="S429" s="762"/>
    </row>
    <row r="430" spans="3:19" s="736" customFormat="1">
      <c r="C430" s="835"/>
      <c r="M430" s="836"/>
      <c r="S430" s="762"/>
    </row>
    <row r="431" spans="3:19" s="736" customFormat="1">
      <c r="C431" s="835"/>
      <c r="M431" s="836"/>
      <c r="S431" s="762"/>
    </row>
    <row r="432" spans="3:19" s="736" customFormat="1">
      <c r="C432" s="835"/>
      <c r="M432" s="836"/>
      <c r="S432" s="762"/>
    </row>
    <row r="433" spans="3:19" s="736" customFormat="1">
      <c r="C433" s="835"/>
      <c r="M433" s="836"/>
      <c r="S433" s="762"/>
    </row>
    <row r="434" spans="3:19" s="736" customFormat="1">
      <c r="C434" s="835"/>
      <c r="M434" s="836"/>
      <c r="S434" s="762"/>
    </row>
    <row r="435" spans="3:19" s="736" customFormat="1">
      <c r="C435" s="835"/>
      <c r="M435" s="836"/>
      <c r="S435" s="762"/>
    </row>
    <row r="436" spans="3:19" s="736" customFormat="1">
      <c r="C436" s="835"/>
      <c r="M436" s="836"/>
      <c r="S436" s="762"/>
    </row>
    <row r="437" spans="3:19" s="736" customFormat="1">
      <c r="C437" s="835"/>
      <c r="M437" s="836"/>
      <c r="S437" s="762"/>
    </row>
    <row r="438" spans="3:19" s="736" customFormat="1">
      <c r="C438" s="835"/>
      <c r="M438" s="836"/>
      <c r="S438" s="762"/>
    </row>
    <row r="439" spans="3:19" s="736" customFormat="1">
      <c r="C439" s="835"/>
      <c r="M439" s="836"/>
      <c r="S439" s="762"/>
    </row>
    <row r="440" spans="3:19" s="736" customFormat="1">
      <c r="C440" s="835"/>
      <c r="M440" s="836"/>
      <c r="S440" s="762"/>
    </row>
    <row r="441" spans="3:19" s="736" customFormat="1">
      <c r="C441" s="835"/>
      <c r="M441" s="836"/>
      <c r="S441" s="762"/>
    </row>
    <row r="442" spans="3:19" s="736" customFormat="1">
      <c r="C442" s="835"/>
      <c r="M442" s="836"/>
      <c r="S442" s="762"/>
    </row>
    <row r="443" spans="3:19" s="736" customFormat="1">
      <c r="C443" s="835"/>
      <c r="M443" s="836"/>
      <c r="S443" s="762"/>
    </row>
    <row r="444" spans="3:19" s="736" customFormat="1">
      <c r="C444" s="835"/>
      <c r="M444" s="836"/>
      <c r="S444" s="762"/>
    </row>
    <row r="445" spans="3:19" s="736" customFormat="1">
      <c r="C445" s="835"/>
      <c r="M445" s="836"/>
      <c r="S445" s="762"/>
    </row>
    <row r="446" spans="3:19" s="736" customFormat="1">
      <c r="C446" s="835"/>
      <c r="M446" s="836"/>
      <c r="S446" s="762"/>
    </row>
    <row r="447" spans="3:19" s="736" customFormat="1">
      <c r="C447" s="835"/>
      <c r="M447" s="836"/>
      <c r="S447" s="762"/>
    </row>
    <row r="448" spans="3:19" s="736" customFormat="1">
      <c r="C448" s="835"/>
      <c r="M448" s="836"/>
      <c r="S448" s="762"/>
    </row>
    <row r="449" spans="3:19" s="736" customFormat="1">
      <c r="C449" s="835"/>
      <c r="M449" s="836"/>
      <c r="S449" s="762"/>
    </row>
    <row r="450" spans="3:19" s="736" customFormat="1">
      <c r="C450" s="835"/>
      <c r="M450" s="836"/>
      <c r="S450" s="762"/>
    </row>
    <row r="451" spans="3:19" s="736" customFormat="1">
      <c r="C451" s="835"/>
      <c r="M451" s="836"/>
      <c r="S451" s="762"/>
    </row>
    <row r="452" spans="3:19" s="736" customFormat="1">
      <c r="C452" s="835"/>
      <c r="M452" s="836"/>
      <c r="S452" s="762"/>
    </row>
    <row r="453" spans="3:19" s="736" customFormat="1">
      <c r="C453" s="835"/>
      <c r="M453" s="836"/>
      <c r="S453" s="762"/>
    </row>
    <row r="454" spans="3:19" s="736" customFormat="1">
      <c r="C454" s="835"/>
      <c r="M454" s="836"/>
      <c r="S454" s="762"/>
    </row>
    <row r="455" spans="3:19" s="736" customFormat="1">
      <c r="C455" s="835"/>
      <c r="M455" s="836"/>
      <c r="S455" s="762"/>
    </row>
    <row r="456" spans="3:19" s="736" customFormat="1">
      <c r="C456" s="835"/>
      <c r="M456" s="836"/>
      <c r="S456" s="762"/>
    </row>
    <row r="457" spans="3:19" s="736" customFormat="1">
      <c r="C457" s="835"/>
      <c r="M457" s="836"/>
      <c r="S457" s="762"/>
    </row>
    <row r="458" spans="3:19" s="736" customFormat="1">
      <c r="C458" s="835"/>
      <c r="M458" s="836"/>
      <c r="S458" s="762"/>
    </row>
    <row r="459" spans="3:19" s="736" customFormat="1">
      <c r="C459" s="835"/>
      <c r="M459" s="836"/>
      <c r="S459" s="762"/>
    </row>
    <row r="460" spans="3:19" s="736" customFormat="1">
      <c r="C460" s="835"/>
      <c r="M460" s="836"/>
      <c r="S460" s="762"/>
    </row>
    <row r="461" spans="3:19" s="736" customFormat="1">
      <c r="C461" s="835"/>
      <c r="M461" s="836"/>
      <c r="S461" s="762"/>
    </row>
    <row r="462" spans="3:19" s="736" customFormat="1">
      <c r="C462" s="835"/>
      <c r="M462" s="836"/>
      <c r="S462" s="762"/>
    </row>
    <row r="463" spans="3:19" s="736" customFormat="1">
      <c r="C463" s="835"/>
      <c r="M463" s="836"/>
      <c r="S463" s="762"/>
    </row>
    <row r="464" spans="3:19" s="736" customFormat="1">
      <c r="C464" s="835"/>
      <c r="M464" s="836"/>
      <c r="S464" s="762"/>
    </row>
    <row r="465" spans="3:19" s="736" customFormat="1">
      <c r="C465" s="835"/>
      <c r="M465" s="836"/>
      <c r="S465" s="762"/>
    </row>
    <row r="466" spans="3:19" s="736" customFormat="1">
      <c r="C466" s="835"/>
      <c r="M466" s="836"/>
      <c r="S466" s="762"/>
    </row>
    <row r="467" spans="3:19" s="736" customFormat="1">
      <c r="C467" s="835"/>
      <c r="M467" s="836"/>
      <c r="S467" s="762"/>
    </row>
    <row r="468" spans="3:19" s="736" customFormat="1">
      <c r="C468" s="835"/>
      <c r="M468" s="836"/>
      <c r="S468" s="762"/>
    </row>
    <row r="469" spans="3:19" s="736" customFormat="1">
      <c r="C469" s="835"/>
      <c r="M469" s="836"/>
      <c r="S469" s="762"/>
    </row>
    <row r="470" spans="3:19" s="736" customFormat="1">
      <c r="C470" s="835"/>
      <c r="M470" s="836"/>
      <c r="S470" s="762"/>
    </row>
    <row r="471" spans="3:19" s="736" customFormat="1">
      <c r="C471" s="835"/>
      <c r="M471" s="836"/>
      <c r="S471" s="762"/>
    </row>
    <row r="472" spans="3:19" s="736" customFormat="1">
      <c r="C472" s="835"/>
      <c r="M472" s="836"/>
      <c r="S472" s="762"/>
    </row>
    <row r="473" spans="3:19" s="736" customFormat="1">
      <c r="C473" s="835"/>
      <c r="M473" s="836"/>
      <c r="S473" s="762"/>
    </row>
    <row r="474" spans="3:19" s="736" customFormat="1">
      <c r="C474" s="835"/>
      <c r="M474" s="836"/>
      <c r="S474" s="762"/>
    </row>
    <row r="475" spans="3:19" s="736" customFormat="1">
      <c r="C475" s="835"/>
      <c r="M475" s="836"/>
      <c r="S475" s="762"/>
    </row>
    <row r="476" spans="3:19" s="736" customFormat="1">
      <c r="C476" s="835"/>
      <c r="M476" s="836"/>
      <c r="S476" s="762"/>
    </row>
    <row r="477" spans="3:19" s="736" customFormat="1">
      <c r="C477" s="835"/>
      <c r="M477" s="836"/>
      <c r="S477" s="762"/>
    </row>
    <row r="478" spans="3:19" s="736" customFormat="1">
      <c r="C478" s="835"/>
      <c r="M478" s="836"/>
      <c r="S478" s="762"/>
    </row>
    <row r="479" spans="3:19" s="736" customFormat="1">
      <c r="C479" s="835"/>
      <c r="M479" s="836"/>
      <c r="S479" s="762"/>
    </row>
    <row r="480" spans="3:19" s="736" customFormat="1">
      <c r="C480" s="835"/>
      <c r="M480" s="836"/>
      <c r="S480" s="762"/>
    </row>
    <row r="481" spans="3:19" s="736" customFormat="1">
      <c r="C481" s="835"/>
      <c r="M481" s="836"/>
      <c r="S481" s="762"/>
    </row>
    <row r="482" spans="3:19" s="736" customFormat="1">
      <c r="C482" s="835"/>
      <c r="M482" s="836"/>
      <c r="S482" s="762"/>
    </row>
    <row r="483" spans="3:19" s="736" customFormat="1">
      <c r="C483" s="835"/>
      <c r="M483" s="836"/>
      <c r="S483" s="762"/>
    </row>
    <row r="484" spans="3:19" s="736" customFormat="1">
      <c r="C484" s="835"/>
      <c r="M484" s="836"/>
      <c r="S484" s="762"/>
    </row>
    <row r="485" spans="3:19" s="736" customFormat="1">
      <c r="C485" s="835"/>
      <c r="M485" s="836"/>
      <c r="S485" s="762"/>
    </row>
    <row r="486" spans="3:19" s="736" customFormat="1">
      <c r="C486" s="835"/>
      <c r="M486" s="836"/>
      <c r="S486" s="762"/>
    </row>
    <row r="487" spans="3:19" s="736" customFormat="1">
      <c r="C487" s="835"/>
      <c r="M487" s="836"/>
      <c r="S487" s="762"/>
    </row>
    <row r="488" spans="3:19" s="736" customFormat="1">
      <c r="C488" s="835"/>
      <c r="M488" s="836"/>
      <c r="S488" s="762"/>
    </row>
    <row r="489" spans="3:19" s="736" customFormat="1">
      <c r="C489" s="835"/>
      <c r="M489" s="836"/>
      <c r="S489" s="762"/>
    </row>
    <row r="490" spans="3:19" s="736" customFormat="1">
      <c r="C490" s="835"/>
      <c r="M490" s="836"/>
      <c r="S490" s="762"/>
    </row>
    <row r="491" spans="3:19" s="736" customFormat="1">
      <c r="C491" s="835"/>
      <c r="M491" s="836"/>
      <c r="S491" s="762"/>
    </row>
    <row r="492" spans="3:19" s="736" customFormat="1">
      <c r="C492" s="835"/>
      <c r="M492" s="836"/>
      <c r="S492" s="762"/>
    </row>
    <row r="493" spans="3:19" s="736" customFormat="1">
      <c r="C493" s="835"/>
      <c r="M493" s="836"/>
      <c r="S493" s="762"/>
    </row>
    <row r="494" spans="3:19" s="736" customFormat="1">
      <c r="C494" s="835"/>
      <c r="M494" s="836"/>
      <c r="S494" s="762"/>
    </row>
    <row r="495" spans="3:19" s="736" customFormat="1">
      <c r="C495" s="835"/>
      <c r="M495" s="836"/>
      <c r="S495" s="762"/>
    </row>
    <row r="496" spans="3:19" s="736" customFormat="1">
      <c r="C496" s="835"/>
      <c r="M496" s="836"/>
      <c r="S496" s="762"/>
    </row>
    <row r="497" spans="3:19" s="736" customFormat="1">
      <c r="C497" s="835"/>
      <c r="M497" s="836"/>
      <c r="S497" s="762"/>
    </row>
    <row r="498" spans="3:19" s="736" customFormat="1">
      <c r="C498" s="835"/>
      <c r="M498" s="836"/>
      <c r="S498" s="762"/>
    </row>
    <row r="499" spans="3:19" s="736" customFormat="1">
      <c r="C499" s="835"/>
      <c r="M499" s="836"/>
      <c r="S499" s="762"/>
    </row>
    <row r="500" spans="3:19" s="736" customFormat="1">
      <c r="C500" s="835"/>
      <c r="M500" s="836"/>
      <c r="S500" s="762"/>
    </row>
    <row r="501" spans="3:19" s="736" customFormat="1">
      <c r="C501" s="835"/>
      <c r="M501" s="836"/>
      <c r="S501" s="762"/>
    </row>
    <row r="502" spans="3:19" s="736" customFormat="1">
      <c r="C502" s="835"/>
      <c r="M502" s="836"/>
      <c r="S502" s="762"/>
    </row>
    <row r="503" spans="3:19" s="736" customFormat="1">
      <c r="C503" s="835"/>
      <c r="M503" s="836"/>
      <c r="S503" s="762"/>
    </row>
    <row r="504" spans="3:19" s="736" customFormat="1">
      <c r="C504" s="835"/>
      <c r="M504" s="836"/>
      <c r="S504" s="762"/>
    </row>
    <row r="505" spans="3:19" s="736" customFormat="1">
      <c r="C505" s="835"/>
      <c r="M505" s="836"/>
      <c r="S505" s="762"/>
    </row>
    <row r="506" spans="3:19" s="736" customFormat="1">
      <c r="C506" s="835"/>
      <c r="M506" s="836"/>
      <c r="S506" s="762"/>
    </row>
    <row r="507" spans="3:19" s="736" customFormat="1">
      <c r="C507" s="835"/>
      <c r="M507" s="836"/>
      <c r="S507" s="762"/>
    </row>
    <row r="508" spans="3:19" s="736" customFormat="1">
      <c r="C508" s="835"/>
      <c r="M508" s="836"/>
      <c r="S508" s="762"/>
    </row>
    <row r="509" spans="3:19" s="736" customFormat="1">
      <c r="C509" s="835"/>
      <c r="M509" s="836"/>
      <c r="S509" s="762"/>
    </row>
    <row r="510" spans="3:19" s="736" customFormat="1">
      <c r="C510" s="835"/>
      <c r="M510" s="836"/>
      <c r="S510" s="762"/>
    </row>
    <row r="511" spans="3:19" s="736" customFormat="1">
      <c r="C511" s="835"/>
      <c r="M511" s="836"/>
      <c r="S511" s="762"/>
    </row>
    <row r="512" spans="3:19" s="736" customFormat="1">
      <c r="C512" s="835"/>
      <c r="M512" s="836"/>
      <c r="S512" s="762"/>
    </row>
    <row r="513" spans="1:19">
      <c r="A513" s="736"/>
      <c r="D513" s="736"/>
      <c r="E513" s="736"/>
      <c r="F513" s="736"/>
      <c r="G513" s="736"/>
      <c r="H513" s="736"/>
      <c r="I513" s="736"/>
      <c r="J513" s="736"/>
      <c r="K513" s="736"/>
      <c r="L513" s="736"/>
      <c r="N513" s="736"/>
      <c r="O513" s="736"/>
      <c r="P513" s="736"/>
      <c r="Q513" s="736"/>
      <c r="R513" s="736"/>
      <c r="S513" s="762"/>
    </row>
    <row r="514" spans="1:19">
      <c r="A514" s="736"/>
      <c r="D514" s="736"/>
      <c r="E514" s="736"/>
      <c r="F514" s="736"/>
      <c r="G514" s="736"/>
      <c r="H514" s="736"/>
      <c r="I514" s="736"/>
      <c r="J514" s="736"/>
      <c r="K514" s="736"/>
      <c r="L514" s="736"/>
      <c r="N514" s="736"/>
      <c r="O514" s="736"/>
      <c r="P514" s="736"/>
      <c r="Q514" s="736"/>
      <c r="R514" s="736"/>
      <c r="S514" s="762"/>
    </row>
    <row r="515" spans="1:19">
      <c r="A515" s="736"/>
      <c r="D515" s="736"/>
      <c r="E515" s="736"/>
      <c r="F515" s="736"/>
      <c r="G515" s="736"/>
      <c r="H515" s="736"/>
      <c r="I515" s="736"/>
      <c r="J515" s="736"/>
      <c r="K515" s="736"/>
      <c r="L515" s="736"/>
      <c r="N515" s="736"/>
      <c r="O515" s="736"/>
      <c r="P515" s="736"/>
      <c r="Q515" s="736"/>
      <c r="R515" s="736"/>
      <c r="S515" s="762"/>
    </row>
    <row r="516" spans="1:19">
      <c r="A516" s="736"/>
      <c r="D516" s="736"/>
      <c r="E516" s="736"/>
      <c r="F516" s="736"/>
      <c r="G516" s="736"/>
      <c r="H516" s="736"/>
      <c r="I516" s="736"/>
      <c r="J516" s="736"/>
      <c r="K516" s="736"/>
      <c r="L516" s="736"/>
      <c r="N516" s="736"/>
      <c r="O516" s="736"/>
      <c r="P516" s="736"/>
      <c r="Q516" s="736"/>
      <c r="R516" s="736"/>
      <c r="S516" s="762"/>
    </row>
    <row r="517" spans="1:19">
      <c r="A517" s="736"/>
      <c r="D517" s="736"/>
      <c r="E517" s="736"/>
      <c r="F517" s="736"/>
      <c r="G517" s="736"/>
      <c r="H517" s="736"/>
      <c r="I517" s="736"/>
      <c r="J517" s="736"/>
      <c r="K517" s="736"/>
      <c r="L517" s="736"/>
      <c r="N517" s="736"/>
      <c r="O517" s="736"/>
      <c r="P517" s="736"/>
      <c r="Q517" s="736"/>
      <c r="R517" s="736"/>
      <c r="S517" s="762"/>
    </row>
    <row r="518" spans="1:19">
      <c r="A518" s="736"/>
      <c r="D518" s="736"/>
      <c r="E518" s="736"/>
      <c r="F518" s="736"/>
      <c r="G518" s="736"/>
      <c r="H518" s="736"/>
      <c r="I518" s="736"/>
      <c r="J518" s="736"/>
      <c r="K518" s="736"/>
      <c r="L518" s="736"/>
      <c r="N518" s="736"/>
      <c r="O518" s="736"/>
      <c r="P518" s="736"/>
      <c r="Q518" s="736"/>
      <c r="R518" s="736"/>
      <c r="S518" s="762"/>
    </row>
    <row r="519" spans="1:19">
      <c r="A519" s="736"/>
      <c r="D519" s="736"/>
      <c r="E519" s="736"/>
      <c r="F519" s="736"/>
      <c r="G519" s="736"/>
      <c r="H519" s="736"/>
      <c r="I519" s="736"/>
      <c r="J519" s="736"/>
      <c r="K519" s="736"/>
      <c r="L519" s="736"/>
      <c r="N519" s="736"/>
      <c r="O519" s="736"/>
      <c r="P519" s="736"/>
      <c r="Q519" s="736"/>
      <c r="R519" s="736"/>
      <c r="S519" s="762"/>
    </row>
    <row r="520" spans="1:19">
      <c r="A520" s="736"/>
      <c r="D520" s="736"/>
      <c r="E520" s="736"/>
      <c r="F520" s="736"/>
      <c r="G520" s="736"/>
      <c r="H520" s="736"/>
      <c r="I520" s="736"/>
      <c r="J520" s="736"/>
      <c r="K520" s="736"/>
      <c r="L520" s="736"/>
      <c r="N520" s="736"/>
      <c r="O520" s="736"/>
      <c r="P520" s="736"/>
      <c r="Q520" s="736"/>
      <c r="R520" s="736"/>
      <c r="S520" s="762"/>
    </row>
    <row r="521" spans="1:19">
      <c r="A521" s="736"/>
      <c r="D521" s="736"/>
      <c r="E521" s="736"/>
      <c r="F521" s="736"/>
      <c r="G521" s="736"/>
      <c r="H521" s="736"/>
      <c r="I521" s="736"/>
      <c r="J521" s="736"/>
      <c r="K521" s="736"/>
      <c r="L521" s="736"/>
      <c r="N521" s="736"/>
      <c r="O521" s="736"/>
      <c r="P521" s="736"/>
      <c r="Q521" s="736"/>
      <c r="R521" s="736"/>
      <c r="S521" s="762"/>
    </row>
    <row r="522" spans="1:19">
      <c r="A522" s="736"/>
      <c r="D522" s="736"/>
      <c r="E522" s="736"/>
      <c r="F522" s="736"/>
      <c r="G522" s="736"/>
      <c r="H522" s="736"/>
      <c r="I522" s="736"/>
      <c r="J522" s="736"/>
      <c r="K522" s="736"/>
      <c r="L522" s="736"/>
      <c r="N522" s="736"/>
      <c r="O522" s="736"/>
      <c r="P522" s="736"/>
      <c r="Q522" s="736"/>
      <c r="R522" s="736"/>
      <c r="S522" s="762"/>
    </row>
    <row r="523" spans="1:19">
      <c r="H523" s="736"/>
      <c r="I523" s="736"/>
      <c r="J523" s="736"/>
      <c r="K523" s="736"/>
      <c r="L523" s="736"/>
      <c r="N523" s="736"/>
      <c r="O523" s="736"/>
      <c r="P523" s="736"/>
      <c r="Q523" s="736"/>
      <c r="R523" s="736"/>
      <c r="S523" s="762"/>
    </row>
    <row r="524" spans="1:19">
      <c r="H524" s="736"/>
      <c r="I524" s="736"/>
      <c r="J524" s="736"/>
      <c r="K524" s="736"/>
      <c r="L524" s="736"/>
      <c r="N524" s="736"/>
      <c r="O524" s="736"/>
      <c r="P524" s="736"/>
      <c r="Q524" s="736"/>
      <c r="R524" s="736"/>
      <c r="S524" s="762"/>
    </row>
    <row r="525" spans="1:19">
      <c r="H525" s="736"/>
      <c r="I525" s="736"/>
      <c r="J525" s="736"/>
      <c r="K525" s="736"/>
      <c r="L525" s="736"/>
      <c r="N525" s="736"/>
      <c r="O525" s="736"/>
      <c r="P525" s="736"/>
      <c r="Q525" s="736"/>
      <c r="R525" s="736"/>
      <c r="S525" s="762"/>
    </row>
    <row r="526" spans="1:19">
      <c r="H526" s="736"/>
      <c r="I526" s="736"/>
      <c r="J526" s="736"/>
      <c r="K526" s="736"/>
      <c r="L526" s="736"/>
      <c r="N526" s="736"/>
      <c r="O526" s="736"/>
      <c r="P526" s="736"/>
      <c r="Q526" s="736"/>
      <c r="R526" s="736"/>
      <c r="S526" s="762"/>
    </row>
    <row r="527" spans="1:19">
      <c r="H527" s="736"/>
      <c r="I527" s="736"/>
      <c r="J527" s="736"/>
      <c r="K527" s="736"/>
      <c r="L527" s="736"/>
      <c r="N527" s="736"/>
      <c r="O527" s="736"/>
      <c r="P527" s="736"/>
      <c r="Q527" s="736"/>
      <c r="R527" s="736"/>
      <c r="S527" s="762"/>
    </row>
    <row r="528" spans="1:19">
      <c r="A528" s="736"/>
      <c r="C528" s="736"/>
      <c r="D528" s="736"/>
      <c r="E528" s="736"/>
      <c r="F528" s="736"/>
      <c r="G528" s="736"/>
      <c r="H528" s="736"/>
      <c r="I528" s="736"/>
      <c r="J528" s="736"/>
      <c r="K528" s="736"/>
      <c r="L528" s="736"/>
      <c r="N528" s="736"/>
      <c r="O528" s="736"/>
      <c r="P528" s="736"/>
      <c r="Q528" s="736"/>
      <c r="R528" s="736"/>
      <c r="S528" s="762"/>
    </row>
    <row r="529" spans="13:19" s="736" customFormat="1">
      <c r="M529" s="836"/>
      <c r="S529" s="762"/>
    </row>
    <row r="530" spans="13:19" s="736" customFormat="1">
      <c r="M530" s="836"/>
      <c r="S530" s="762"/>
    </row>
    <row r="531" spans="13:19" s="736" customFormat="1">
      <c r="M531" s="836"/>
      <c r="S531" s="762"/>
    </row>
    <row r="532" spans="13:19" s="736" customFormat="1">
      <c r="M532" s="836"/>
      <c r="S532" s="762"/>
    </row>
    <row r="533" spans="13:19" s="736" customFormat="1">
      <c r="M533" s="836"/>
      <c r="S533" s="762"/>
    </row>
    <row r="534" spans="13:19" s="736" customFormat="1">
      <c r="M534" s="836"/>
      <c r="S534" s="762"/>
    </row>
    <row r="535" spans="13:19" s="736" customFormat="1">
      <c r="M535" s="836"/>
      <c r="S535" s="762"/>
    </row>
    <row r="536" spans="13:19" s="736" customFormat="1">
      <c r="M536" s="836"/>
      <c r="S536" s="762"/>
    </row>
    <row r="537" spans="13:19" s="736" customFormat="1">
      <c r="M537" s="836"/>
      <c r="S537" s="762"/>
    </row>
    <row r="538" spans="13:19" s="736" customFormat="1">
      <c r="M538" s="836"/>
      <c r="S538" s="762"/>
    </row>
    <row r="539" spans="13:19" s="736" customFormat="1">
      <c r="M539" s="836"/>
      <c r="S539" s="762"/>
    </row>
    <row r="540" spans="13:19" s="736" customFormat="1">
      <c r="M540" s="836"/>
      <c r="S540" s="762"/>
    </row>
    <row r="541" spans="13:19" s="736" customFormat="1">
      <c r="M541" s="836"/>
      <c r="S541" s="762"/>
    </row>
    <row r="542" spans="13:19" s="736" customFormat="1">
      <c r="M542" s="836"/>
      <c r="S542" s="762"/>
    </row>
    <row r="543" spans="13:19" s="736" customFormat="1">
      <c r="M543" s="836"/>
      <c r="S543" s="762"/>
    </row>
    <row r="544" spans="13:19" s="736" customFormat="1">
      <c r="M544" s="836"/>
      <c r="S544" s="762"/>
    </row>
    <row r="545" spans="13:19" s="736" customFormat="1">
      <c r="M545" s="836"/>
      <c r="S545" s="762"/>
    </row>
    <row r="546" spans="13:19" s="736" customFormat="1">
      <c r="M546" s="836"/>
      <c r="S546" s="762"/>
    </row>
    <row r="547" spans="13:19" s="736" customFormat="1">
      <c r="M547" s="836"/>
      <c r="S547" s="762"/>
    </row>
    <row r="548" spans="13:19" s="736" customFormat="1">
      <c r="M548" s="836"/>
      <c r="S548" s="762"/>
    </row>
    <row r="549" spans="13:19" s="736" customFormat="1">
      <c r="M549" s="836"/>
      <c r="S549" s="762"/>
    </row>
    <row r="550" spans="13:19" s="736" customFormat="1">
      <c r="M550" s="836"/>
      <c r="S550" s="762"/>
    </row>
    <row r="551" spans="13:19" s="736" customFormat="1">
      <c r="M551" s="836"/>
      <c r="S551" s="762"/>
    </row>
    <row r="552" spans="13:19" s="736" customFormat="1">
      <c r="M552" s="836"/>
      <c r="S552" s="762"/>
    </row>
    <row r="553" spans="13:19" s="736" customFormat="1">
      <c r="M553" s="836"/>
      <c r="S553" s="762"/>
    </row>
    <row r="554" spans="13:19" s="736" customFormat="1">
      <c r="M554" s="836"/>
      <c r="S554" s="762"/>
    </row>
    <row r="555" spans="13:19" s="736" customFormat="1">
      <c r="M555" s="836"/>
      <c r="S555" s="762"/>
    </row>
    <row r="556" spans="13:19" s="736" customFormat="1">
      <c r="M556" s="836"/>
      <c r="S556" s="762"/>
    </row>
    <row r="557" spans="13:19" s="736" customFormat="1">
      <c r="M557" s="836"/>
      <c r="S557" s="762"/>
    </row>
    <row r="558" spans="13:19" s="736" customFormat="1">
      <c r="M558" s="836"/>
      <c r="S558" s="762"/>
    </row>
    <row r="559" spans="13:19" s="736" customFormat="1">
      <c r="M559" s="836"/>
      <c r="S559" s="762"/>
    </row>
    <row r="560" spans="13:19" s="736" customFormat="1">
      <c r="M560" s="836"/>
      <c r="S560" s="762"/>
    </row>
    <row r="561" spans="13:19" s="736" customFormat="1">
      <c r="M561" s="836"/>
      <c r="S561" s="762"/>
    </row>
    <row r="562" spans="13:19" s="736" customFormat="1">
      <c r="M562" s="836"/>
      <c r="S562" s="762"/>
    </row>
    <row r="563" spans="13:19" s="736" customFormat="1">
      <c r="M563" s="836"/>
      <c r="S563" s="762"/>
    </row>
    <row r="564" spans="13:19" s="736" customFormat="1">
      <c r="M564" s="836"/>
      <c r="S564" s="762"/>
    </row>
    <row r="565" spans="13:19" s="736" customFormat="1">
      <c r="M565" s="836"/>
      <c r="S565" s="762"/>
    </row>
    <row r="566" spans="13:19" s="736" customFormat="1">
      <c r="M566" s="836"/>
      <c r="S566" s="762"/>
    </row>
    <row r="567" spans="13:19" s="736" customFormat="1">
      <c r="M567" s="836"/>
      <c r="S567" s="762"/>
    </row>
    <row r="568" spans="13:19" s="736" customFormat="1">
      <c r="M568" s="836"/>
      <c r="S568" s="762"/>
    </row>
    <row r="569" spans="13:19" s="736" customFormat="1">
      <c r="M569" s="836"/>
      <c r="S569" s="762"/>
    </row>
    <row r="570" spans="13:19" s="736" customFormat="1">
      <c r="M570" s="836"/>
      <c r="S570" s="762"/>
    </row>
    <row r="571" spans="13:19" s="736" customFormat="1">
      <c r="M571" s="836"/>
      <c r="S571" s="762"/>
    </row>
    <row r="572" spans="13:19" s="736" customFormat="1">
      <c r="M572" s="836"/>
      <c r="S572" s="762"/>
    </row>
    <row r="573" spans="13:19" s="736" customFormat="1">
      <c r="M573" s="836"/>
      <c r="S573" s="762"/>
    </row>
    <row r="574" spans="13:19" s="736" customFormat="1">
      <c r="M574" s="836"/>
      <c r="S574" s="762"/>
    </row>
    <row r="575" spans="13:19" s="736" customFormat="1">
      <c r="M575" s="836"/>
      <c r="S575" s="762"/>
    </row>
    <row r="576" spans="13:19" s="736" customFormat="1">
      <c r="M576" s="836"/>
      <c r="S576" s="762"/>
    </row>
    <row r="577" spans="13:19" s="736" customFormat="1">
      <c r="M577" s="836"/>
      <c r="S577" s="762"/>
    </row>
    <row r="578" spans="13:19" s="736" customFormat="1">
      <c r="M578" s="836"/>
      <c r="S578" s="762"/>
    </row>
    <row r="579" spans="13:19" s="736" customFormat="1">
      <c r="M579" s="836"/>
      <c r="S579" s="762"/>
    </row>
    <row r="580" spans="13:19" s="736" customFormat="1">
      <c r="M580" s="836"/>
      <c r="S580" s="762"/>
    </row>
    <row r="581" spans="13:19" s="736" customFormat="1">
      <c r="M581" s="836"/>
      <c r="S581" s="762"/>
    </row>
  </sheetData>
  <mergeCells count="27">
    <mergeCell ref="A1:S1"/>
    <mergeCell ref="A2:S2"/>
    <mergeCell ref="A3:S3"/>
    <mergeCell ref="A4:S4"/>
    <mergeCell ref="S5:S9"/>
    <mergeCell ref="I7:K7"/>
    <mergeCell ref="L7:L9"/>
    <mergeCell ref="J8:K8"/>
    <mergeCell ref="A5:A9"/>
    <mergeCell ref="P8:Q8"/>
    <mergeCell ref="H7:H9"/>
    <mergeCell ref="I8:I9"/>
    <mergeCell ref="O8:O9"/>
    <mergeCell ref="H5:L6"/>
    <mergeCell ref="B5:B9"/>
    <mergeCell ref="C5:C9"/>
    <mergeCell ref="R7:R9"/>
    <mergeCell ref="M5:M9"/>
    <mergeCell ref="G8:G9"/>
    <mergeCell ref="E7:G7"/>
    <mergeCell ref="D5:G6"/>
    <mergeCell ref="D7:D9"/>
    <mergeCell ref="E8:E9"/>
    <mergeCell ref="F8:F9"/>
    <mergeCell ref="N7:N9"/>
    <mergeCell ref="O7:Q7"/>
    <mergeCell ref="N5:R6"/>
  </mergeCells>
  <hyperlinks>
    <hyperlink ref="D82" r:id="rId1"/>
  </hyperlinks>
  <printOptions horizontalCentered="1"/>
  <pageMargins left="0" right="0" top="0.23" bottom="0.22" header="0" footer="0"/>
  <pageSetup paperSize="9" scale="33" orientation="landscape" r:id="rId2"/>
  <headerFooter differentFirst="1">
    <oddHeader>&amp;C&amp;P</oddHeader>
  </headerFooter>
  <rowBreaks count="1" manualBreakCount="1">
    <brk id="411" max="19"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325"/>
  <sheetViews>
    <sheetView zoomScale="85" zoomScaleNormal="85" zoomScaleSheetLayoutView="70" zoomScalePageLayoutView="60" workbookViewId="0">
      <selection sqref="A1:M1"/>
    </sheetView>
  </sheetViews>
  <sheetFormatPr defaultColWidth="8.7109375" defaultRowHeight="18.75"/>
  <cols>
    <col min="1" max="1" width="5.140625" style="132" customWidth="1"/>
    <col min="2" max="2" width="29.7109375" style="133" customWidth="1"/>
    <col min="3" max="3" width="7.7109375" style="134" customWidth="1"/>
    <col min="4" max="4" width="8.7109375" style="134" customWidth="1"/>
    <col min="5" max="7" width="8.42578125" style="134" customWidth="1"/>
    <col min="8" max="8" width="9.42578125" style="134" customWidth="1"/>
    <col min="9" max="9" width="10.140625" style="26" customWidth="1"/>
    <col min="10" max="10" width="7.7109375" style="26" customWidth="1"/>
    <col min="11" max="12" width="9.42578125" style="26" customWidth="1"/>
    <col min="13" max="15" width="10.140625" style="26" customWidth="1"/>
    <col min="16" max="16" width="8.5703125" style="26" customWidth="1"/>
    <col min="17" max="17" width="8.7109375" style="26" hidden="1" customWidth="1"/>
    <col min="18" max="18" width="9.42578125" style="26" hidden="1" customWidth="1"/>
    <col min="19" max="19" width="9" style="26" hidden="1" customWidth="1"/>
    <col min="20" max="20" width="9.140625" style="26" hidden="1" customWidth="1"/>
    <col min="21" max="21" width="10.42578125" style="26" hidden="1" customWidth="1"/>
    <col min="22" max="23" width="11" style="26" hidden="1" customWidth="1"/>
    <col min="24" max="24" width="9.42578125" style="26" hidden="1" customWidth="1"/>
    <col min="25" max="25" width="8.140625" style="26" hidden="1" customWidth="1"/>
    <col min="26" max="26" width="9.42578125" style="26" hidden="1" customWidth="1"/>
    <col min="27" max="27" width="8.28515625" style="26" hidden="1" customWidth="1"/>
    <col min="28" max="28" width="11.42578125" style="26" hidden="1" customWidth="1"/>
    <col min="29" max="29" width="10.140625" style="26" hidden="1" customWidth="1"/>
    <col min="30" max="30" width="10.7109375" style="26" hidden="1" customWidth="1"/>
    <col min="31" max="31" width="8" style="26" hidden="1" customWidth="1"/>
    <col min="32" max="32" width="9" style="26" hidden="1" customWidth="1"/>
    <col min="33" max="34" width="8" style="26" hidden="1" customWidth="1"/>
    <col min="35" max="35" width="9.7109375" style="26" hidden="1" customWidth="1"/>
    <col min="36" max="36" width="9.7109375" style="26" customWidth="1"/>
    <col min="37" max="37" width="8.140625" style="26" customWidth="1"/>
    <col min="38" max="38" width="9.28515625" style="26" customWidth="1"/>
    <col min="39" max="42" width="8.28515625" style="26" customWidth="1"/>
    <col min="43" max="43" width="8.7109375" style="26" customWidth="1"/>
    <col min="44" max="44" width="6.7109375" style="26" customWidth="1"/>
    <col min="45" max="247" width="8.7109375" style="92"/>
    <col min="248" max="248" width="5.140625" style="92" customWidth="1"/>
    <col min="249" max="249" width="24" style="92" customWidth="1"/>
    <col min="250" max="250" width="7.7109375" style="92" customWidth="1"/>
    <col min="251" max="251" width="8.7109375" style="92" customWidth="1"/>
    <col min="252" max="252" width="8.42578125" style="92" customWidth="1"/>
    <col min="253" max="253" width="9.42578125" style="92" customWidth="1"/>
    <col min="254" max="254" width="10.140625" style="92" customWidth="1"/>
    <col min="255" max="255" width="7.7109375" style="92" customWidth="1"/>
    <col min="256" max="257" width="9.42578125" style="92" customWidth="1"/>
    <col min="258" max="259" width="9.7109375" style="92" customWidth="1"/>
    <col min="260" max="260" width="8.7109375" style="92" customWidth="1"/>
    <col min="261" max="261" width="9.42578125" style="92" customWidth="1"/>
    <col min="262" max="262" width="6.7109375" style="92" customWidth="1"/>
    <col min="263" max="263" width="8.140625" style="92" customWidth="1"/>
    <col min="264" max="264" width="10.42578125" style="92" customWidth="1"/>
    <col min="265" max="265" width="8.42578125" style="92" customWidth="1"/>
    <col min="266" max="266" width="9.7109375" style="92" customWidth="1"/>
    <col min="267" max="267" width="9.42578125" style="92" customWidth="1"/>
    <col min="268" max="268" width="7.42578125" style="92" customWidth="1"/>
    <col min="269" max="269" width="8.42578125" style="92" customWidth="1"/>
    <col min="270" max="271" width="8.28515625" style="92" customWidth="1"/>
    <col min="272" max="272" width="11.42578125" style="92" customWidth="1"/>
    <col min="273" max="273" width="10.42578125" style="92" customWidth="1"/>
    <col min="274" max="274" width="9.7109375" style="92" customWidth="1"/>
    <col min="275" max="275" width="9.140625" style="92" customWidth="1"/>
    <col min="276" max="276" width="9.42578125" style="92" customWidth="1"/>
    <col min="277" max="277" width="7.42578125" style="92" customWidth="1"/>
    <col min="278" max="278" width="8.42578125" style="92" customWidth="1"/>
    <col min="279" max="279" width="8.28515625" style="92" customWidth="1"/>
    <col min="280" max="280" width="11.42578125" style="92" customWidth="1"/>
    <col min="281" max="293" width="8" style="92" customWidth="1"/>
    <col min="294" max="294" width="9.42578125" style="92" customWidth="1"/>
    <col min="295" max="295" width="6.7109375" style="92" customWidth="1"/>
    <col min="296" max="298" width="8.28515625" style="92" customWidth="1"/>
    <col min="299" max="299" width="8.7109375" style="92" customWidth="1"/>
    <col min="300" max="300" width="6.7109375" style="92" customWidth="1"/>
    <col min="301" max="503" width="8.7109375" style="92"/>
    <col min="504" max="504" width="5.140625" style="92" customWidth="1"/>
    <col min="505" max="505" width="24" style="92" customWidth="1"/>
    <col min="506" max="506" width="7.7109375" style="92" customWidth="1"/>
    <col min="507" max="507" width="8.7109375" style="92" customWidth="1"/>
    <col min="508" max="508" width="8.42578125" style="92" customWidth="1"/>
    <col min="509" max="509" width="9.42578125" style="92" customWidth="1"/>
    <col min="510" max="510" width="10.140625" style="92" customWidth="1"/>
    <col min="511" max="511" width="7.7109375" style="92" customWidth="1"/>
    <col min="512" max="513" width="9.42578125" style="92" customWidth="1"/>
    <col min="514" max="515" width="9.7109375" style="92" customWidth="1"/>
    <col min="516" max="516" width="8.7109375" style="92" customWidth="1"/>
    <col min="517" max="517" width="9.42578125" style="92" customWidth="1"/>
    <col min="518" max="518" width="6.7109375" style="92" customWidth="1"/>
    <col min="519" max="519" width="8.140625" style="92" customWidth="1"/>
    <col min="520" max="520" width="10.42578125" style="92" customWidth="1"/>
    <col min="521" max="521" width="8.42578125" style="92" customWidth="1"/>
    <col min="522" max="522" width="9.7109375" style="92" customWidth="1"/>
    <col min="523" max="523" width="9.42578125" style="92" customWidth="1"/>
    <col min="524" max="524" width="7.42578125" style="92" customWidth="1"/>
    <col min="525" max="525" width="8.42578125" style="92" customWidth="1"/>
    <col min="526" max="527" width="8.28515625" style="92" customWidth="1"/>
    <col min="528" max="528" width="11.42578125" style="92" customWidth="1"/>
    <col min="529" max="529" width="10.42578125" style="92" customWidth="1"/>
    <col min="530" max="530" width="9.7109375" style="92" customWidth="1"/>
    <col min="531" max="531" width="9.140625" style="92" customWidth="1"/>
    <col min="532" max="532" width="9.42578125" style="92" customWidth="1"/>
    <col min="533" max="533" width="7.42578125" style="92" customWidth="1"/>
    <col min="534" max="534" width="8.42578125" style="92" customWidth="1"/>
    <col min="535" max="535" width="8.28515625" style="92" customWidth="1"/>
    <col min="536" max="536" width="11.42578125" style="92" customWidth="1"/>
    <col min="537" max="549" width="8" style="92" customWidth="1"/>
    <col min="550" max="550" width="9.42578125" style="92" customWidth="1"/>
    <col min="551" max="551" width="6.7109375" style="92" customWidth="1"/>
    <col min="552" max="554" width="8.28515625" style="92" customWidth="1"/>
    <col min="555" max="555" width="8.7109375" style="92" customWidth="1"/>
    <col min="556" max="556" width="6.7109375" style="92" customWidth="1"/>
    <col min="557" max="759" width="8.7109375" style="92"/>
    <col min="760" max="760" width="5.140625" style="92" customWidth="1"/>
    <col min="761" max="761" width="24" style="92" customWidth="1"/>
    <col min="762" max="762" width="7.7109375" style="92" customWidth="1"/>
    <col min="763" max="763" width="8.7109375" style="92" customWidth="1"/>
    <col min="764" max="764" width="8.42578125" style="92" customWidth="1"/>
    <col min="765" max="765" width="9.42578125" style="92" customWidth="1"/>
    <col min="766" max="766" width="10.140625" style="92" customWidth="1"/>
    <col min="767" max="767" width="7.7109375" style="92" customWidth="1"/>
    <col min="768" max="769" width="9.42578125" style="92" customWidth="1"/>
    <col min="770" max="771" width="9.7109375" style="92" customWidth="1"/>
    <col min="772" max="772" width="8.7109375" style="92" customWidth="1"/>
    <col min="773" max="773" width="9.42578125" style="92" customWidth="1"/>
    <col min="774" max="774" width="6.7109375" style="92" customWidth="1"/>
    <col min="775" max="775" width="8.140625" style="92" customWidth="1"/>
    <col min="776" max="776" width="10.42578125" style="92" customWidth="1"/>
    <col min="777" max="777" width="8.42578125" style="92" customWidth="1"/>
    <col min="778" max="778" width="9.7109375" style="92" customWidth="1"/>
    <col min="779" max="779" width="9.42578125" style="92" customWidth="1"/>
    <col min="780" max="780" width="7.42578125" style="92" customWidth="1"/>
    <col min="781" max="781" width="8.42578125" style="92" customWidth="1"/>
    <col min="782" max="783" width="8.28515625" style="92" customWidth="1"/>
    <col min="784" max="784" width="11.42578125" style="92" customWidth="1"/>
    <col min="785" max="785" width="10.42578125" style="92" customWidth="1"/>
    <col min="786" max="786" width="9.7109375" style="92" customWidth="1"/>
    <col min="787" max="787" width="9.140625" style="92" customWidth="1"/>
    <col min="788" max="788" width="9.42578125" style="92" customWidth="1"/>
    <col min="789" max="789" width="7.42578125" style="92" customWidth="1"/>
    <col min="790" max="790" width="8.42578125" style="92" customWidth="1"/>
    <col min="791" max="791" width="8.28515625" style="92" customWidth="1"/>
    <col min="792" max="792" width="11.42578125" style="92" customWidth="1"/>
    <col min="793" max="805" width="8" style="92" customWidth="1"/>
    <col min="806" max="806" width="9.42578125" style="92" customWidth="1"/>
    <col min="807" max="807" width="6.7109375" style="92" customWidth="1"/>
    <col min="808" max="810" width="8.28515625" style="92" customWidth="1"/>
    <col min="811" max="811" width="8.7109375" style="92" customWidth="1"/>
    <col min="812" max="812" width="6.7109375" style="92" customWidth="1"/>
    <col min="813" max="1015" width="8.7109375" style="92"/>
    <col min="1016" max="1016" width="5.140625" style="92" customWidth="1"/>
    <col min="1017" max="1017" width="24" style="92" customWidth="1"/>
    <col min="1018" max="1018" width="7.7109375" style="92" customWidth="1"/>
    <col min="1019" max="1019" width="8.7109375" style="92" customWidth="1"/>
    <col min="1020" max="1020" width="8.42578125" style="92" customWidth="1"/>
    <col min="1021" max="1021" width="9.42578125" style="92" customWidth="1"/>
    <col min="1022" max="1022" width="10.140625" style="92" customWidth="1"/>
    <col min="1023" max="1023" width="7.7109375" style="92" customWidth="1"/>
    <col min="1024" max="1025" width="9.42578125" style="92" customWidth="1"/>
    <col min="1026" max="1027" width="9.7109375" style="92" customWidth="1"/>
    <col min="1028" max="1028" width="8.7109375" style="92" customWidth="1"/>
    <col min="1029" max="1029" width="9.42578125" style="92" customWidth="1"/>
    <col min="1030" max="1030" width="6.7109375" style="92" customWidth="1"/>
    <col min="1031" max="1031" width="8.140625" style="92" customWidth="1"/>
    <col min="1032" max="1032" width="10.42578125" style="92" customWidth="1"/>
    <col min="1033" max="1033" width="8.42578125" style="92" customWidth="1"/>
    <col min="1034" max="1034" width="9.7109375" style="92" customWidth="1"/>
    <col min="1035" max="1035" width="9.42578125" style="92" customWidth="1"/>
    <col min="1036" max="1036" width="7.42578125" style="92" customWidth="1"/>
    <col min="1037" max="1037" width="8.42578125" style="92" customWidth="1"/>
    <col min="1038" max="1039" width="8.28515625" style="92" customWidth="1"/>
    <col min="1040" max="1040" width="11.42578125" style="92" customWidth="1"/>
    <col min="1041" max="1041" width="10.42578125" style="92" customWidth="1"/>
    <col min="1042" max="1042" width="9.7109375" style="92" customWidth="1"/>
    <col min="1043" max="1043" width="9.140625" style="92" customWidth="1"/>
    <col min="1044" max="1044" width="9.42578125" style="92" customWidth="1"/>
    <col min="1045" max="1045" width="7.42578125" style="92" customWidth="1"/>
    <col min="1046" max="1046" width="8.42578125" style="92" customWidth="1"/>
    <col min="1047" max="1047" width="8.28515625" style="92" customWidth="1"/>
    <col min="1048" max="1048" width="11.42578125" style="92" customWidth="1"/>
    <col min="1049" max="1061" width="8" style="92" customWidth="1"/>
    <col min="1062" max="1062" width="9.42578125" style="92" customWidth="1"/>
    <col min="1063" max="1063" width="6.7109375" style="92" customWidth="1"/>
    <col min="1064" max="1066" width="8.28515625" style="92" customWidth="1"/>
    <col min="1067" max="1067" width="8.7109375" style="92" customWidth="1"/>
    <col min="1068" max="1068" width="6.7109375" style="92" customWidth="1"/>
    <col min="1069" max="1271" width="8.7109375" style="92"/>
    <col min="1272" max="1272" width="5.140625" style="92" customWidth="1"/>
    <col min="1273" max="1273" width="24" style="92" customWidth="1"/>
    <col min="1274" max="1274" width="7.7109375" style="92" customWidth="1"/>
    <col min="1275" max="1275" width="8.7109375" style="92" customWidth="1"/>
    <col min="1276" max="1276" width="8.42578125" style="92" customWidth="1"/>
    <col min="1277" max="1277" width="9.42578125" style="92" customWidth="1"/>
    <col min="1278" max="1278" width="10.140625" style="92" customWidth="1"/>
    <col min="1279" max="1279" width="7.7109375" style="92" customWidth="1"/>
    <col min="1280" max="1281" width="9.42578125" style="92" customWidth="1"/>
    <col min="1282" max="1283" width="9.7109375" style="92" customWidth="1"/>
    <col min="1284" max="1284" width="8.7109375" style="92" customWidth="1"/>
    <col min="1285" max="1285" width="9.42578125" style="92" customWidth="1"/>
    <col min="1286" max="1286" width="6.7109375" style="92" customWidth="1"/>
    <col min="1287" max="1287" width="8.140625" style="92" customWidth="1"/>
    <col min="1288" max="1288" width="10.42578125" style="92" customWidth="1"/>
    <col min="1289" max="1289" width="8.42578125" style="92" customWidth="1"/>
    <col min="1290" max="1290" width="9.7109375" style="92" customWidth="1"/>
    <col min="1291" max="1291" width="9.42578125" style="92" customWidth="1"/>
    <col min="1292" max="1292" width="7.42578125" style="92" customWidth="1"/>
    <col min="1293" max="1293" width="8.42578125" style="92" customWidth="1"/>
    <col min="1294" max="1295" width="8.28515625" style="92" customWidth="1"/>
    <col min="1296" max="1296" width="11.42578125" style="92" customWidth="1"/>
    <col min="1297" max="1297" width="10.42578125" style="92" customWidth="1"/>
    <col min="1298" max="1298" width="9.7109375" style="92" customWidth="1"/>
    <col min="1299" max="1299" width="9.140625" style="92" customWidth="1"/>
    <col min="1300" max="1300" width="9.42578125" style="92" customWidth="1"/>
    <col min="1301" max="1301" width="7.42578125" style="92" customWidth="1"/>
    <col min="1302" max="1302" width="8.42578125" style="92" customWidth="1"/>
    <col min="1303" max="1303" width="8.28515625" style="92" customWidth="1"/>
    <col min="1304" max="1304" width="11.42578125" style="92" customWidth="1"/>
    <col min="1305" max="1317" width="8" style="92" customWidth="1"/>
    <col min="1318" max="1318" width="9.42578125" style="92" customWidth="1"/>
    <col min="1319" max="1319" width="6.7109375" style="92" customWidth="1"/>
    <col min="1320" max="1322" width="8.28515625" style="92" customWidth="1"/>
    <col min="1323" max="1323" width="8.7109375" style="92" customWidth="1"/>
    <col min="1324" max="1324" width="6.7109375" style="92" customWidth="1"/>
    <col min="1325" max="1527" width="8.7109375" style="92"/>
    <col min="1528" max="1528" width="5.140625" style="92" customWidth="1"/>
    <col min="1529" max="1529" width="24" style="92" customWidth="1"/>
    <col min="1530" max="1530" width="7.7109375" style="92" customWidth="1"/>
    <col min="1531" max="1531" width="8.7109375" style="92" customWidth="1"/>
    <col min="1532" max="1532" width="8.42578125" style="92" customWidth="1"/>
    <col min="1533" max="1533" width="9.42578125" style="92" customWidth="1"/>
    <col min="1534" max="1534" width="10.140625" style="92" customWidth="1"/>
    <col min="1535" max="1535" width="7.7109375" style="92" customWidth="1"/>
    <col min="1536" max="1537" width="9.42578125" style="92" customWidth="1"/>
    <col min="1538" max="1539" width="9.7109375" style="92" customWidth="1"/>
    <col min="1540" max="1540" width="8.7109375" style="92" customWidth="1"/>
    <col min="1541" max="1541" width="9.42578125" style="92" customWidth="1"/>
    <col min="1542" max="1542" width="6.7109375" style="92" customWidth="1"/>
    <col min="1543" max="1543" width="8.140625" style="92" customWidth="1"/>
    <col min="1544" max="1544" width="10.42578125" style="92" customWidth="1"/>
    <col min="1545" max="1545" width="8.42578125" style="92" customWidth="1"/>
    <col min="1546" max="1546" width="9.7109375" style="92" customWidth="1"/>
    <col min="1547" max="1547" width="9.42578125" style="92" customWidth="1"/>
    <col min="1548" max="1548" width="7.42578125" style="92" customWidth="1"/>
    <col min="1549" max="1549" width="8.42578125" style="92" customWidth="1"/>
    <col min="1550" max="1551" width="8.28515625" style="92" customWidth="1"/>
    <col min="1552" max="1552" width="11.42578125" style="92" customWidth="1"/>
    <col min="1553" max="1553" width="10.42578125" style="92" customWidth="1"/>
    <col min="1554" max="1554" width="9.7109375" style="92" customWidth="1"/>
    <col min="1555" max="1555" width="9.140625" style="92" customWidth="1"/>
    <col min="1556" max="1556" width="9.42578125" style="92" customWidth="1"/>
    <col min="1557" max="1557" width="7.42578125" style="92" customWidth="1"/>
    <col min="1558" max="1558" width="8.42578125" style="92" customWidth="1"/>
    <col min="1559" max="1559" width="8.28515625" style="92" customWidth="1"/>
    <col min="1560" max="1560" width="11.42578125" style="92" customWidth="1"/>
    <col min="1561" max="1573" width="8" style="92" customWidth="1"/>
    <col min="1574" max="1574" width="9.42578125" style="92" customWidth="1"/>
    <col min="1575" max="1575" width="6.7109375" style="92" customWidth="1"/>
    <col min="1576" max="1578" width="8.28515625" style="92" customWidth="1"/>
    <col min="1579" max="1579" width="8.7109375" style="92" customWidth="1"/>
    <col min="1580" max="1580" width="6.7109375" style="92" customWidth="1"/>
    <col min="1581" max="1783" width="8.7109375" style="92"/>
    <col min="1784" max="1784" width="5.140625" style="92" customWidth="1"/>
    <col min="1785" max="1785" width="24" style="92" customWidth="1"/>
    <col min="1786" max="1786" width="7.7109375" style="92" customWidth="1"/>
    <col min="1787" max="1787" width="8.7109375" style="92" customWidth="1"/>
    <col min="1788" max="1788" width="8.42578125" style="92" customWidth="1"/>
    <col min="1789" max="1789" width="9.42578125" style="92" customWidth="1"/>
    <col min="1790" max="1790" width="10.140625" style="92" customWidth="1"/>
    <col min="1791" max="1791" width="7.7109375" style="92" customWidth="1"/>
    <col min="1792" max="1793" width="9.42578125" style="92" customWidth="1"/>
    <col min="1794" max="1795" width="9.7109375" style="92" customWidth="1"/>
    <col min="1796" max="1796" width="8.7109375" style="92" customWidth="1"/>
    <col min="1797" max="1797" width="9.42578125" style="92" customWidth="1"/>
    <col min="1798" max="1798" width="6.7109375" style="92" customWidth="1"/>
    <col min="1799" max="1799" width="8.140625" style="92" customWidth="1"/>
    <col min="1800" max="1800" width="10.42578125" style="92" customWidth="1"/>
    <col min="1801" max="1801" width="8.42578125" style="92" customWidth="1"/>
    <col min="1802" max="1802" width="9.7109375" style="92" customWidth="1"/>
    <col min="1803" max="1803" width="9.42578125" style="92" customWidth="1"/>
    <col min="1804" max="1804" width="7.42578125" style="92" customWidth="1"/>
    <col min="1805" max="1805" width="8.42578125" style="92" customWidth="1"/>
    <col min="1806" max="1807" width="8.28515625" style="92" customWidth="1"/>
    <col min="1808" max="1808" width="11.42578125" style="92" customWidth="1"/>
    <col min="1809" max="1809" width="10.42578125" style="92" customWidth="1"/>
    <col min="1810" max="1810" width="9.7109375" style="92" customWidth="1"/>
    <col min="1811" max="1811" width="9.140625" style="92" customWidth="1"/>
    <col min="1812" max="1812" width="9.42578125" style="92" customWidth="1"/>
    <col min="1813" max="1813" width="7.42578125" style="92" customWidth="1"/>
    <col min="1814" max="1814" width="8.42578125" style="92" customWidth="1"/>
    <col min="1815" max="1815" width="8.28515625" style="92" customWidth="1"/>
    <col min="1816" max="1816" width="11.42578125" style="92" customWidth="1"/>
    <col min="1817" max="1829" width="8" style="92" customWidth="1"/>
    <col min="1830" max="1830" width="9.42578125" style="92" customWidth="1"/>
    <col min="1831" max="1831" width="6.7109375" style="92" customWidth="1"/>
    <col min="1832" max="1834" width="8.28515625" style="92" customWidth="1"/>
    <col min="1835" max="1835" width="8.7109375" style="92" customWidth="1"/>
    <col min="1836" max="1836" width="6.7109375" style="92" customWidth="1"/>
    <col min="1837" max="2039" width="8.7109375" style="92"/>
    <col min="2040" max="2040" width="5.140625" style="92" customWidth="1"/>
    <col min="2041" max="2041" width="24" style="92" customWidth="1"/>
    <col min="2042" max="2042" width="7.7109375" style="92" customWidth="1"/>
    <col min="2043" max="2043" width="8.7109375" style="92" customWidth="1"/>
    <col min="2044" max="2044" width="8.42578125" style="92" customWidth="1"/>
    <col min="2045" max="2045" width="9.42578125" style="92" customWidth="1"/>
    <col min="2046" max="2046" width="10.140625" style="92" customWidth="1"/>
    <col min="2047" max="2047" width="7.7109375" style="92" customWidth="1"/>
    <col min="2048" max="2049" width="9.42578125" style="92" customWidth="1"/>
    <col min="2050" max="2051" width="9.7109375" style="92" customWidth="1"/>
    <col min="2052" max="2052" width="8.7109375" style="92" customWidth="1"/>
    <col min="2053" max="2053" width="9.42578125" style="92" customWidth="1"/>
    <col min="2054" max="2054" width="6.7109375" style="92" customWidth="1"/>
    <col min="2055" max="2055" width="8.140625" style="92" customWidth="1"/>
    <col min="2056" max="2056" width="10.42578125" style="92" customWidth="1"/>
    <col min="2057" max="2057" width="8.42578125" style="92" customWidth="1"/>
    <col min="2058" max="2058" width="9.7109375" style="92" customWidth="1"/>
    <col min="2059" max="2059" width="9.42578125" style="92" customWidth="1"/>
    <col min="2060" max="2060" width="7.42578125" style="92" customWidth="1"/>
    <col min="2061" max="2061" width="8.42578125" style="92" customWidth="1"/>
    <col min="2062" max="2063" width="8.28515625" style="92" customWidth="1"/>
    <col min="2064" max="2064" width="11.42578125" style="92" customWidth="1"/>
    <col min="2065" max="2065" width="10.42578125" style="92" customWidth="1"/>
    <col min="2066" max="2066" width="9.7109375" style="92" customWidth="1"/>
    <col min="2067" max="2067" width="9.140625" style="92" customWidth="1"/>
    <col min="2068" max="2068" width="9.42578125" style="92" customWidth="1"/>
    <col min="2069" max="2069" width="7.42578125" style="92" customWidth="1"/>
    <col min="2070" max="2070" width="8.42578125" style="92" customWidth="1"/>
    <col min="2071" max="2071" width="8.28515625" style="92" customWidth="1"/>
    <col min="2072" max="2072" width="11.42578125" style="92" customWidth="1"/>
    <col min="2073" max="2085" width="8" style="92" customWidth="1"/>
    <col min="2086" max="2086" width="9.42578125" style="92" customWidth="1"/>
    <col min="2087" max="2087" width="6.7109375" style="92" customWidth="1"/>
    <col min="2088" max="2090" width="8.28515625" style="92" customWidth="1"/>
    <col min="2091" max="2091" width="8.7109375" style="92" customWidth="1"/>
    <col min="2092" max="2092" width="6.7109375" style="92" customWidth="1"/>
    <col min="2093" max="2295" width="8.7109375" style="92"/>
    <col min="2296" max="2296" width="5.140625" style="92" customWidth="1"/>
    <col min="2297" max="2297" width="24" style="92" customWidth="1"/>
    <col min="2298" max="2298" width="7.7109375" style="92" customWidth="1"/>
    <col min="2299" max="2299" width="8.7109375" style="92" customWidth="1"/>
    <col min="2300" max="2300" width="8.42578125" style="92" customWidth="1"/>
    <col min="2301" max="2301" width="9.42578125" style="92" customWidth="1"/>
    <col min="2302" max="2302" width="10.140625" style="92" customWidth="1"/>
    <col min="2303" max="2303" width="7.7109375" style="92" customWidth="1"/>
    <col min="2304" max="2305" width="9.42578125" style="92" customWidth="1"/>
    <col min="2306" max="2307" width="9.7109375" style="92" customWidth="1"/>
    <col min="2308" max="2308" width="8.7109375" style="92" customWidth="1"/>
    <col min="2309" max="2309" width="9.42578125" style="92" customWidth="1"/>
    <col min="2310" max="2310" width="6.7109375" style="92" customWidth="1"/>
    <col min="2311" max="2311" width="8.140625" style="92" customWidth="1"/>
    <col min="2312" max="2312" width="10.42578125" style="92" customWidth="1"/>
    <col min="2313" max="2313" width="8.42578125" style="92" customWidth="1"/>
    <col min="2314" max="2314" width="9.7109375" style="92" customWidth="1"/>
    <col min="2315" max="2315" width="9.42578125" style="92" customWidth="1"/>
    <col min="2316" max="2316" width="7.42578125" style="92" customWidth="1"/>
    <col min="2317" max="2317" width="8.42578125" style="92" customWidth="1"/>
    <col min="2318" max="2319" width="8.28515625" style="92" customWidth="1"/>
    <col min="2320" max="2320" width="11.42578125" style="92" customWidth="1"/>
    <col min="2321" max="2321" width="10.42578125" style="92" customWidth="1"/>
    <col min="2322" max="2322" width="9.7109375" style="92" customWidth="1"/>
    <col min="2323" max="2323" width="9.140625" style="92" customWidth="1"/>
    <col min="2324" max="2324" width="9.42578125" style="92" customWidth="1"/>
    <col min="2325" max="2325" width="7.42578125" style="92" customWidth="1"/>
    <col min="2326" max="2326" width="8.42578125" style="92" customWidth="1"/>
    <col min="2327" max="2327" width="8.28515625" style="92" customWidth="1"/>
    <col min="2328" max="2328" width="11.42578125" style="92" customWidth="1"/>
    <col min="2329" max="2341" width="8" style="92" customWidth="1"/>
    <col min="2342" max="2342" width="9.42578125" style="92" customWidth="1"/>
    <col min="2343" max="2343" width="6.7109375" style="92" customWidth="1"/>
    <col min="2344" max="2346" width="8.28515625" style="92" customWidth="1"/>
    <col min="2347" max="2347" width="8.7109375" style="92" customWidth="1"/>
    <col min="2348" max="2348" width="6.7109375" style="92" customWidth="1"/>
    <col min="2349" max="2551" width="8.7109375" style="92"/>
    <col min="2552" max="2552" width="5.140625" style="92" customWidth="1"/>
    <col min="2553" max="2553" width="24" style="92" customWidth="1"/>
    <col min="2554" max="2554" width="7.7109375" style="92" customWidth="1"/>
    <col min="2555" max="2555" width="8.7109375" style="92" customWidth="1"/>
    <col min="2556" max="2556" width="8.42578125" style="92" customWidth="1"/>
    <col min="2557" max="2557" width="9.42578125" style="92" customWidth="1"/>
    <col min="2558" max="2558" width="10.140625" style="92" customWidth="1"/>
    <col min="2559" max="2559" width="7.7109375" style="92" customWidth="1"/>
    <col min="2560" max="2561" width="9.42578125" style="92" customWidth="1"/>
    <col min="2562" max="2563" width="9.7109375" style="92" customWidth="1"/>
    <col min="2564" max="2564" width="8.7109375" style="92" customWidth="1"/>
    <col min="2565" max="2565" width="9.42578125" style="92" customWidth="1"/>
    <col min="2566" max="2566" width="6.7109375" style="92" customWidth="1"/>
    <col min="2567" max="2567" width="8.140625" style="92" customWidth="1"/>
    <col min="2568" max="2568" width="10.42578125" style="92" customWidth="1"/>
    <col min="2569" max="2569" width="8.42578125" style="92" customWidth="1"/>
    <col min="2570" max="2570" width="9.7109375" style="92" customWidth="1"/>
    <col min="2571" max="2571" width="9.42578125" style="92" customWidth="1"/>
    <col min="2572" max="2572" width="7.42578125" style="92" customWidth="1"/>
    <col min="2573" max="2573" width="8.42578125" style="92" customWidth="1"/>
    <col min="2574" max="2575" width="8.28515625" style="92" customWidth="1"/>
    <col min="2576" max="2576" width="11.42578125" style="92" customWidth="1"/>
    <col min="2577" max="2577" width="10.42578125" style="92" customWidth="1"/>
    <col min="2578" max="2578" width="9.7109375" style="92" customWidth="1"/>
    <col min="2579" max="2579" width="9.140625" style="92" customWidth="1"/>
    <col min="2580" max="2580" width="9.42578125" style="92" customWidth="1"/>
    <col min="2581" max="2581" width="7.42578125" style="92" customWidth="1"/>
    <col min="2582" max="2582" width="8.42578125" style="92" customWidth="1"/>
    <col min="2583" max="2583" width="8.28515625" style="92" customWidth="1"/>
    <col min="2584" max="2584" width="11.42578125" style="92" customWidth="1"/>
    <col min="2585" max="2597" width="8" style="92" customWidth="1"/>
    <col min="2598" max="2598" width="9.42578125" style="92" customWidth="1"/>
    <col min="2599" max="2599" width="6.7109375" style="92" customWidth="1"/>
    <col min="2600" max="2602" width="8.28515625" style="92" customWidth="1"/>
    <col min="2603" max="2603" width="8.7109375" style="92" customWidth="1"/>
    <col min="2604" max="2604" width="6.7109375" style="92" customWidth="1"/>
    <col min="2605" max="2807" width="8.7109375" style="92"/>
    <col min="2808" max="2808" width="5.140625" style="92" customWidth="1"/>
    <col min="2809" max="2809" width="24" style="92" customWidth="1"/>
    <col min="2810" max="2810" width="7.7109375" style="92" customWidth="1"/>
    <col min="2811" max="2811" width="8.7109375" style="92" customWidth="1"/>
    <col min="2812" max="2812" width="8.42578125" style="92" customWidth="1"/>
    <col min="2813" max="2813" width="9.42578125" style="92" customWidth="1"/>
    <col min="2814" max="2814" width="10.140625" style="92" customWidth="1"/>
    <col min="2815" max="2815" width="7.7109375" style="92" customWidth="1"/>
    <col min="2816" max="2817" width="9.42578125" style="92" customWidth="1"/>
    <col min="2818" max="2819" width="9.7109375" style="92" customWidth="1"/>
    <col min="2820" max="2820" width="8.7109375" style="92" customWidth="1"/>
    <col min="2821" max="2821" width="9.42578125" style="92" customWidth="1"/>
    <col min="2822" max="2822" width="6.7109375" style="92" customWidth="1"/>
    <col min="2823" max="2823" width="8.140625" style="92" customWidth="1"/>
    <col min="2824" max="2824" width="10.42578125" style="92" customWidth="1"/>
    <col min="2825" max="2825" width="8.42578125" style="92" customWidth="1"/>
    <col min="2826" max="2826" width="9.7109375" style="92" customWidth="1"/>
    <col min="2827" max="2827" width="9.42578125" style="92" customWidth="1"/>
    <col min="2828" max="2828" width="7.42578125" style="92" customWidth="1"/>
    <col min="2829" max="2829" width="8.42578125" style="92" customWidth="1"/>
    <col min="2830" max="2831" width="8.28515625" style="92" customWidth="1"/>
    <col min="2832" max="2832" width="11.42578125" style="92" customWidth="1"/>
    <col min="2833" max="2833" width="10.42578125" style="92" customWidth="1"/>
    <col min="2834" max="2834" width="9.7109375" style="92" customWidth="1"/>
    <col min="2835" max="2835" width="9.140625" style="92" customWidth="1"/>
    <col min="2836" max="2836" width="9.42578125" style="92" customWidth="1"/>
    <col min="2837" max="2837" width="7.42578125" style="92" customWidth="1"/>
    <col min="2838" max="2838" width="8.42578125" style="92" customWidth="1"/>
    <col min="2839" max="2839" width="8.28515625" style="92" customWidth="1"/>
    <col min="2840" max="2840" width="11.42578125" style="92" customWidth="1"/>
    <col min="2841" max="2853" width="8" style="92" customWidth="1"/>
    <col min="2854" max="2854" width="9.42578125" style="92" customWidth="1"/>
    <col min="2855" max="2855" width="6.7109375" style="92" customWidth="1"/>
    <col min="2856" max="2858" width="8.28515625" style="92" customWidth="1"/>
    <col min="2859" max="2859" width="8.7109375" style="92" customWidth="1"/>
    <col min="2860" max="2860" width="6.7109375" style="92" customWidth="1"/>
    <col min="2861" max="3063" width="8.7109375" style="92"/>
    <col min="3064" max="3064" width="5.140625" style="92" customWidth="1"/>
    <col min="3065" max="3065" width="24" style="92" customWidth="1"/>
    <col min="3066" max="3066" width="7.7109375" style="92" customWidth="1"/>
    <col min="3067" max="3067" width="8.7109375" style="92" customWidth="1"/>
    <col min="3068" max="3068" width="8.42578125" style="92" customWidth="1"/>
    <col min="3069" max="3069" width="9.42578125" style="92" customWidth="1"/>
    <col min="3070" max="3070" width="10.140625" style="92" customWidth="1"/>
    <col min="3071" max="3071" width="7.7109375" style="92" customWidth="1"/>
    <col min="3072" max="3073" width="9.42578125" style="92" customWidth="1"/>
    <col min="3074" max="3075" width="9.7109375" style="92" customWidth="1"/>
    <col min="3076" max="3076" width="8.7109375" style="92" customWidth="1"/>
    <col min="3077" max="3077" width="9.42578125" style="92" customWidth="1"/>
    <col min="3078" max="3078" width="6.7109375" style="92" customWidth="1"/>
    <col min="3079" max="3079" width="8.140625" style="92" customWidth="1"/>
    <col min="3080" max="3080" width="10.42578125" style="92" customWidth="1"/>
    <col min="3081" max="3081" width="8.42578125" style="92" customWidth="1"/>
    <col min="3082" max="3082" width="9.7109375" style="92" customWidth="1"/>
    <col min="3083" max="3083" width="9.42578125" style="92" customWidth="1"/>
    <col min="3084" max="3084" width="7.42578125" style="92" customWidth="1"/>
    <col min="3085" max="3085" width="8.42578125" style="92" customWidth="1"/>
    <col min="3086" max="3087" width="8.28515625" style="92" customWidth="1"/>
    <col min="3088" max="3088" width="11.42578125" style="92" customWidth="1"/>
    <col min="3089" max="3089" width="10.42578125" style="92" customWidth="1"/>
    <col min="3090" max="3090" width="9.7109375" style="92" customWidth="1"/>
    <col min="3091" max="3091" width="9.140625" style="92" customWidth="1"/>
    <col min="3092" max="3092" width="9.42578125" style="92" customWidth="1"/>
    <col min="3093" max="3093" width="7.42578125" style="92" customWidth="1"/>
    <col min="3094" max="3094" width="8.42578125" style="92" customWidth="1"/>
    <col min="3095" max="3095" width="8.28515625" style="92" customWidth="1"/>
    <col min="3096" max="3096" width="11.42578125" style="92" customWidth="1"/>
    <col min="3097" max="3109" width="8" style="92" customWidth="1"/>
    <col min="3110" max="3110" width="9.42578125" style="92" customWidth="1"/>
    <col min="3111" max="3111" width="6.7109375" style="92" customWidth="1"/>
    <col min="3112" max="3114" width="8.28515625" style="92" customWidth="1"/>
    <col min="3115" max="3115" width="8.7109375" style="92" customWidth="1"/>
    <col min="3116" max="3116" width="6.7109375" style="92" customWidth="1"/>
    <col min="3117" max="3319" width="8.7109375" style="92"/>
    <col min="3320" max="3320" width="5.140625" style="92" customWidth="1"/>
    <col min="3321" max="3321" width="24" style="92" customWidth="1"/>
    <col min="3322" max="3322" width="7.7109375" style="92" customWidth="1"/>
    <col min="3323" max="3323" width="8.7109375" style="92" customWidth="1"/>
    <col min="3324" max="3324" width="8.42578125" style="92" customWidth="1"/>
    <col min="3325" max="3325" width="9.42578125" style="92" customWidth="1"/>
    <col min="3326" max="3326" width="10.140625" style="92" customWidth="1"/>
    <col min="3327" max="3327" width="7.7109375" style="92" customWidth="1"/>
    <col min="3328" max="3329" width="9.42578125" style="92" customWidth="1"/>
    <col min="3330" max="3331" width="9.7109375" style="92" customWidth="1"/>
    <col min="3332" max="3332" width="8.7109375" style="92" customWidth="1"/>
    <col min="3333" max="3333" width="9.42578125" style="92" customWidth="1"/>
    <col min="3334" max="3334" width="6.7109375" style="92" customWidth="1"/>
    <col min="3335" max="3335" width="8.140625" style="92" customWidth="1"/>
    <col min="3336" max="3336" width="10.42578125" style="92" customWidth="1"/>
    <col min="3337" max="3337" width="8.42578125" style="92" customWidth="1"/>
    <col min="3338" max="3338" width="9.7109375" style="92" customWidth="1"/>
    <col min="3339" max="3339" width="9.42578125" style="92" customWidth="1"/>
    <col min="3340" max="3340" width="7.42578125" style="92" customWidth="1"/>
    <col min="3341" max="3341" width="8.42578125" style="92" customWidth="1"/>
    <col min="3342" max="3343" width="8.28515625" style="92" customWidth="1"/>
    <col min="3344" max="3344" width="11.42578125" style="92" customWidth="1"/>
    <col min="3345" max="3345" width="10.42578125" style="92" customWidth="1"/>
    <col min="3346" max="3346" width="9.7109375" style="92" customWidth="1"/>
    <col min="3347" max="3347" width="9.140625" style="92" customWidth="1"/>
    <col min="3348" max="3348" width="9.42578125" style="92" customWidth="1"/>
    <col min="3349" max="3349" width="7.42578125" style="92" customWidth="1"/>
    <col min="3350" max="3350" width="8.42578125" style="92" customWidth="1"/>
    <col min="3351" max="3351" width="8.28515625" style="92" customWidth="1"/>
    <col min="3352" max="3352" width="11.42578125" style="92" customWidth="1"/>
    <col min="3353" max="3365" width="8" style="92" customWidth="1"/>
    <col min="3366" max="3366" width="9.42578125" style="92" customWidth="1"/>
    <col min="3367" max="3367" width="6.7109375" style="92" customWidth="1"/>
    <col min="3368" max="3370" width="8.28515625" style="92" customWidth="1"/>
    <col min="3371" max="3371" width="8.7109375" style="92" customWidth="1"/>
    <col min="3372" max="3372" width="6.7109375" style="92" customWidth="1"/>
    <col min="3373" max="3575" width="8.7109375" style="92"/>
    <col min="3576" max="3576" width="5.140625" style="92" customWidth="1"/>
    <col min="3577" max="3577" width="24" style="92" customWidth="1"/>
    <col min="3578" max="3578" width="7.7109375" style="92" customWidth="1"/>
    <col min="3579" max="3579" width="8.7109375" style="92" customWidth="1"/>
    <col min="3580" max="3580" width="8.42578125" style="92" customWidth="1"/>
    <col min="3581" max="3581" width="9.42578125" style="92" customWidth="1"/>
    <col min="3582" max="3582" width="10.140625" style="92" customWidth="1"/>
    <col min="3583" max="3583" width="7.7109375" style="92" customWidth="1"/>
    <col min="3584" max="3585" width="9.42578125" style="92" customWidth="1"/>
    <col min="3586" max="3587" width="9.7109375" style="92" customWidth="1"/>
    <col min="3588" max="3588" width="8.7109375" style="92" customWidth="1"/>
    <col min="3589" max="3589" width="9.42578125" style="92" customWidth="1"/>
    <col min="3590" max="3590" width="6.7109375" style="92" customWidth="1"/>
    <col min="3591" max="3591" width="8.140625" style="92" customWidth="1"/>
    <col min="3592" max="3592" width="10.42578125" style="92" customWidth="1"/>
    <col min="3593" max="3593" width="8.42578125" style="92" customWidth="1"/>
    <col min="3594" max="3594" width="9.7109375" style="92" customWidth="1"/>
    <col min="3595" max="3595" width="9.42578125" style="92" customWidth="1"/>
    <col min="3596" max="3596" width="7.42578125" style="92" customWidth="1"/>
    <col min="3597" max="3597" width="8.42578125" style="92" customWidth="1"/>
    <col min="3598" max="3599" width="8.28515625" style="92" customWidth="1"/>
    <col min="3600" max="3600" width="11.42578125" style="92" customWidth="1"/>
    <col min="3601" max="3601" width="10.42578125" style="92" customWidth="1"/>
    <col min="3602" max="3602" width="9.7109375" style="92" customWidth="1"/>
    <col min="3603" max="3603" width="9.140625" style="92" customWidth="1"/>
    <col min="3604" max="3604" width="9.42578125" style="92" customWidth="1"/>
    <col min="3605" max="3605" width="7.42578125" style="92" customWidth="1"/>
    <col min="3606" max="3606" width="8.42578125" style="92" customWidth="1"/>
    <col min="3607" max="3607" width="8.28515625" style="92" customWidth="1"/>
    <col min="3608" max="3608" width="11.42578125" style="92" customWidth="1"/>
    <col min="3609" max="3621" width="8" style="92" customWidth="1"/>
    <col min="3622" max="3622" width="9.42578125" style="92" customWidth="1"/>
    <col min="3623" max="3623" width="6.7109375" style="92" customWidth="1"/>
    <col min="3624" max="3626" width="8.28515625" style="92" customWidth="1"/>
    <col min="3627" max="3627" width="8.7109375" style="92" customWidth="1"/>
    <col min="3628" max="3628" width="6.7109375" style="92" customWidth="1"/>
    <col min="3629" max="3831" width="8.7109375" style="92"/>
    <col min="3832" max="3832" width="5.140625" style="92" customWidth="1"/>
    <col min="3833" max="3833" width="24" style="92" customWidth="1"/>
    <col min="3834" max="3834" width="7.7109375" style="92" customWidth="1"/>
    <col min="3835" max="3835" width="8.7109375" style="92" customWidth="1"/>
    <col min="3836" max="3836" width="8.42578125" style="92" customWidth="1"/>
    <col min="3837" max="3837" width="9.42578125" style="92" customWidth="1"/>
    <col min="3838" max="3838" width="10.140625" style="92" customWidth="1"/>
    <col min="3839" max="3839" width="7.7109375" style="92" customWidth="1"/>
    <col min="3840" max="3841" width="9.42578125" style="92" customWidth="1"/>
    <col min="3842" max="3843" width="9.7109375" style="92" customWidth="1"/>
    <col min="3844" max="3844" width="8.7109375" style="92" customWidth="1"/>
    <col min="3845" max="3845" width="9.42578125" style="92" customWidth="1"/>
    <col min="3846" max="3846" width="6.7109375" style="92" customWidth="1"/>
    <col min="3847" max="3847" width="8.140625" style="92" customWidth="1"/>
    <col min="3848" max="3848" width="10.42578125" style="92" customWidth="1"/>
    <col min="3849" max="3849" width="8.42578125" style="92" customWidth="1"/>
    <col min="3850" max="3850" width="9.7109375" style="92" customWidth="1"/>
    <col min="3851" max="3851" width="9.42578125" style="92" customWidth="1"/>
    <col min="3852" max="3852" width="7.42578125" style="92" customWidth="1"/>
    <col min="3853" max="3853" width="8.42578125" style="92" customWidth="1"/>
    <col min="3854" max="3855" width="8.28515625" style="92" customWidth="1"/>
    <col min="3856" max="3856" width="11.42578125" style="92" customWidth="1"/>
    <col min="3857" max="3857" width="10.42578125" style="92" customWidth="1"/>
    <col min="3858" max="3858" width="9.7109375" style="92" customWidth="1"/>
    <col min="3859" max="3859" width="9.140625" style="92" customWidth="1"/>
    <col min="3860" max="3860" width="9.42578125" style="92" customWidth="1"/>
    <col min="3861" max="3861" width="7.42578125" style="92" customWidth="1"/>
    <col min="3862" max="3862" width="8.42578125" style="92" customWidth="1"/>
    <col min="3863" max="3863" width="8.28515625" style="92" customWidth="1"/>
    <col min="3864" max="3864" width="11.42578125" style="92" customWidth="1"/>
    <col min="3865" max="3877" width="8" style="92" customWidth="1"/>
    <col min="3878" max="3878" width="9.42578125" style="92" customWidth="1"/>
    <col min="3879" max="3879" width="6.7109375" style="92" customWidth="1"/>
    <col min="3880" max="3882" width="8.28515625" style="92" customWidth="1"/>
    <col min="3883" max="3883" width="8.7109375" style="92" customWidth="1"/>
    <col min="3884" max="3884" width="6.7109375" style="92" customWidth="1"/>
    <col min="3885" max="4087" width="8.7109375" style="92"/>
    <col min="4088" max="4088" width="5.140625" style="92" customWidth="1"/>
    <col min="4089" max="4089" width="24" style="92" customWidth="1"/>
    <col min="4090" max="4090" width="7.7109375" style="92" customWidth="1"/>
    <col min="4091" max="4091" width="8.7109375" style="92" customWidth="1"/>
    <col min="4092" max="4092" width="8.42578125" style="92" customWidth="1"/>
    <col min="4093" max="4093" width="9.42578125" style="92" customWidth="1"/>
    <col min="4094" max="4094" width="10.140625" style="92" customWidth="1"/>
    <col min="4095" max="4095" width="7.7109375" style="92" customWidth="1"/>
    <col min="4096" max="4097" width="9.42578125" style="92" customWidth="1"/>
    <col min="4098" max="4099" width="9.7109375" style="92" customWidth="1"/>
    <col min="4100" max="4100" width="8.7109375" style="92" customWidth="1"/>
    <col min="4101" max="4101" width="9.42578125" style="92" customWidth="1"/>
    <col min="4102" max="4102" width="6.7109375" style="92" customWidth="1"/>
    <col min="4103" max="4103" width="8.140625" style="92" customWidth="1"/>
    <col min="4104" max="4104" width="10.42578125" style="92" customWidth="1"/>
    <col min="4105" max="4105" width="8.42578125" style="92" customWidth="1"/>
    <col min="4106" max="4106" width="9.7109375" style="92" customWidth="1"/>
    <col min="4107" max="4107" width="9.42578125" style="92" customWidth="1"/>
    <col min="4108" max="4108" width="7.42578125" style="92" customWidth="1"/>
    <col min="4109" max="4109" width="8.42578125" style="92" customWidth="1"/>
    <col min="4110" max="4111" width="8.28515625" style="92" customWidth="1"/>
    <col min="4112" max="4112" width="11.42578125" style="92" customWidth="1"/>
    <col min="4113" max="4113" width="10.42578125" style="92" customWidth="1"/>
    <col min="4114" max="4114" width="9.7109375" style="92" customWidth="1"/>
    <col min="4115" max="4115" width="9.140625" style="92" customWidth="1"/>
    <col min="4116" max="4116" width="9.42578125" style="92" customWidth="1"/>
    <col min="4117" max="4117" width="7.42578125" style="92" customWidth="1"/>
    <col min="4118" max="4118" width="8.42578125" style="92" customWidth="1"/>
    <col min="4119" max="4119" width="8.28515625" style="92" customWidth="1"/>
    <col min="4120" max="4120" width="11.42578125" style="92" customWidth="1"/>
    <col min="4121" max="4133" width="8" style="92" customWidth="1"/>
    <col min="4134" max="4134" width="9.42578125" style="92" customWidth="1"/>
    <col min="4135" max="4135" width="6.7109375" style="92" customWidth="1"/>
    <col min="4136" max="4138" width="8.28515625" style="92" customWidth="1"/>
    <col min="4139" max="4139" width="8.7109375" style="92" customWidth="1"/>
    <col min="4140" max="4140" width="6.7109375" style="92" customWidth="1"/>
    <col min="4141" max="4343" width="8.7109375" style="92"/>
    <col min="4344" max="4344" width="5.140625" style="92" customWidth="1"/>
    <col min="4345" max="4345" width="24" style="92" customWidth="1"/>
    <col min="4346" max="4346" width="7.7109375" style="92" customWidth="1"/>
    <col min="4347" max="4347" width="8.7109375" style="92" customWidth="1"/>
    <col min="4348" max="4348" width="8.42578125" style="92" customWidth="1"/>
    <col min="4349" max="4349" width="9.42578125" style="92" customWidth="1"/>
    <col min="4350" max="4350" width="10.140625" style="92" customWidth="1"/>
    <col min="4351" max="4351" width="7.7109375" style="92" customWidth="1"/>
    <col min="4352" max="4353" width="9.42578125" style="92" customWidth="1"/>
    <col min="4354" max="4355" width="9.7109375" style="92" customWidth="1"/>
    <col min="4356" max="4356" width="8.7109375" style="92" customWidth="1"/>
    <col min="4357" max="4357" width="9.42578125" style="92" customWidth="1"/>
    <col min="4358" max="4358" width="6.7109375" style="92" customWidth="1"/>
    <col min="4359" max="4359" width="8.140625" style="92" customWidth="1"/>
    <col min="4360" max="4360" width="10.42578125" style="92" customWidth="1"/>
    <col min="4361" max="4361" width="8.42578125" style="92" customWidth="1"/>
    <col min="4362" max="4362" width="9.7109375" style="92" customWidth="1"/>
    <col min="4363" max="4363" width="9.42578125" style="92" customWidth="1"/>
    <col min="4364" max="4364" width="7.42578125" style="92" customWidth="1"/>
    <col min="4365" max="4365" width="8.42578125" style="92" customWidth="1"/>
    <col min="4366" max="4367" width="8.28515625" style="92" customWidth="1"/>
    <col min="4368" max="4368" width="11.42578125" style="92" customWidth="1"/>
    <col min="4369" max="4369" width="10.42578125" style="92" customWidth="1"/>
    <col min="4370" max="4370" width="9.7109375" style="92" customWidth="1"/>
    <col min="4371" max="4371" width="9.140625" style="92" customWidth="1"/>
    <col min="4372" max="4372" width="9.42578125" style="92" customWidth="1"/>
    <col min="4373" max="4373" width="7.42578125" style="92" customWidth="1"/>
    <col min="4374" max="4374" width="8.42578125" style="92" customWidth="1"/>
    <col min="4375" max="4375" width="8.28515625" style="92" customWidth="1"/>
    <col min="4376" max="4376" width="11.42578125" style="92" customWidth="1"/>
    <col min="4377" max="4389" width="8" style="92" customWidth="1"/>
    <col min="4390" max="4390" width="9.42578125" style="92" customWidth="1"/>
    <col min="4391" max="4391" width="6.7109375" style="92" customWidth="1"/>
    <col min="4392" max="4394" width="8.28515625" style="92" customWidth="1"/>
    <col min="4395" max="4395" width="8.7109375" style="92" customWidth="1"/>
    <col min="4396" max="4396" width="6.7109375" style="92" customWidth="1"/>
    <col min="4397" max="4599" width="8.7109375" style="92"/>
    <col min="4600" max="4600" width="5.140625" style="92" customWidth="1"/>
    <col min="4601" max="4601" width="24" style="92" customWidth="1"/>
    <col min="4602" max="4602" width="7.7109375" style="92" customWidth="1"/>
    <col min="4603" max="4603" width="8.7109375" style="92" customWidth="1"/>
    <col min="4604" max="4604" width="8.42578125" style="92" customWidth="1"/>
    <col min="4605" max="4605" width="9.42578125" style="92" customWidth="1"/>
    <col min="4606" max="4606" width="10.140625" style="92" customWidth="1"/>
    <col min="4607" max="4607" width="7.7109375" style="92" customWidth="1"/>
    <col min="4608" max="4609" width="9.42578125" style="92" customWidth="1"/>
    <col min="4610" max="4611" width="9.7109375" style="92" customWidth="1"/>
    <col min="4612" max="4612" width="8.7109375" style="92" customWidth="1"/>
    <col min="4613" max="4613" width="9.42578125" style="92" customWidth="1"/>
    <col min="4614" max="4614" width="6.7109375" style="92" customWidth="1"/>
    <col min="4615" max="4615" width="8.140625" style="92" customWidth="1"/>
    <col min="4616" max="4616" width="10.42578125" style="92" customWidth="1"/>
    <col min="4617" max="4617" width="8.42578125" style="92" customWidth="1"/>
    <col min="4618" max="4618" width="9.7109375" style="92" customWidth="1"/>
    <col min="4619" max="4619" width="9.42578125" style="92" customWidth="1"/>
    <col min="4620" max="4620" width="7.42578125" style="92" customWidth="1"/>
    <col min="4621" max="4621" width="8.42578125" style="92" customWidth="1"/>
    <col min="4622" max="4623" width="8.28515625" style="92" customWidth="1"/>
    <col min="4624" max="4624" width="11.42578125" style="92" customWidth="1"/>
    <col min="4625" max="4625" width="10.42578125" style="92" customWidth="1"/>
    <col min="4626" max="4626" width="9.7109375" style="92" customWidth="1"/>
    <col min="4627" max="4627" width="9.140625" style="92" customWidth="1"/>
    <col min="4628" max="4628" width="9.42578125" style="92" customWidth="1"/>
    <col min="4629" max="4629" width="7.42578125" style="92" customWidth="1"/>
    <col min="4630" max="4630" width="8.42578125" style="92" customWidth="1"/>
    <col min="4631" max="4631" width="8.28515625" style="92" customWidth="1"/>
    <col min="4632" max="4632" width="11.42578125" style="92" customWidth="1"/>
    <col min="4633" max="4645" width="8" style="92" customWidth="1"/>
    <col min="4646" max="4646" width="9.42578125" style="92" customWidth="1"/>
    <col min="4647" max="4647" width="6.7109375" style="92" customWidth="1"/>
    <col min="4648" max="4650" width="8.28515625" style="92" customWidth="1"/>
    <col min="4651" max="4651" width="8.7109375" style="92" customWidth="1"/>
    <col min="4652" max="4652" width="6.7109375" style="92" customWidth="1"/>
    <col min="4653" max="4855" width="8.7109375" style="92"/>
    <col min="4856" max="4856" width="5.140625" style="92" customWidth="1"/>
    <col min="4857" max="4857" width="24" style="92" customWidth="1"/>
    <col min="4858" max="4858" width="7.7109375" style="92" customWidth="1"/>
    <col min="4859" max="4859" width="8.7109375" style="92" customWidth="1"/>
    <col min="4860" max="4860" width="8.42578125" style="92" customWidth="1"/>
    <col min="4861" max="4861" width="9.42578125" style="92" customWidth="1"/>
    <col min="4862" max="4862" width="10.140625" style="92" customWidth="1"/>
    <col min="4863" max="4863" width="7.7109375" style="92" customWidth="1"/>
    <col min="4864" max="4865" width="9.42578125" style="92" customWidth="1"/>
    <col min="4866" max="4867" width="9.7109375" style="92" customWidth="1"/>
    <col min="4868" max="4868" width="8.7109375" style="92" customWidth="1"/>
    <col min="4869" max="4869" width="9.42578125" style="92" customWidth="1"/>
    <col min="4870" max="4870" width="6.7109375" style="92" customWidth="1"/>
    <col min="4871" max="4871" width="8.140625" style="92" customWidth="1"/>
    <col min="4872" max="4872" width="10.42578125" style="92" customWidth="1"/>
    <col min="4873" max="4873" width="8.42578125" style="92" customWidth="1"/>
    <col min="4874" max="4874" width="9.7109375" style="92" customWidth="1"/>
    <col min="4875" max="4875" width="9.42578125" style="92" customWidth="1"/>
    <col min="4876" max="4876" width="7.42578125" style="92" customWidth="1"/>
    <col min="4877" max="4877" width="8.42578125" style="92" customWidth="1"/>
    <col min="4878" max="4879" width="8.28515625" style="92" customWidth="1"/>
    <col min="4880" max="4880" width="11.42578125" style="92" customWidth="1"/>
    <col min="4881" max="4881" width="10.42578125" style="92" customWidth="1"/>
    <col min="4882" max="4882" width="9.7109375" style="92" customWidth="1"/>
    <col min="4883" max="4883" width="9.140625" style="92" customWidth="1"/>
    <col min="4884" max="4884" width="9.42578125" style="92" customWidth="1"/>
    <col min="4885" max="4885" width="7.42578125" style="92" customWidth="1"/>
    <col min="4886" max="4886" width="8.42578125" style="92" customWidth="1"/>
    <col min="4887" max="4887" width="8.28515625" style="92" customWidth="1"/>
    <col min="4888" max="4888" width="11.42578125" style="92" customWidth="1"/>
    <col min="4889" max="4901" width="8" style="92" customWidth="1"/>
    <col min="4902" max="4902" width="9.42578125" style="92" customWidth="1"/>
    <col min="4903" max="4903" width="6.7109375" style="92" customWidth="1"/>
    <col min="4904" max="4906" width="8.28515625" style="92" customWidth="1"/>
    <col min="4907" max="4907" width="8.7109375" style="92" customWidth="1"/>
    <col min="4908" max="4908" width="6.7109375" style="92" customWidth="1"/>
    <col min="4909" max="5111" width="8.7109375" style="92"/>
    <col min="5112" max="5112" width="5.140625" style="92" customWidth="1"/>
    <col min="5113" max="5113" width="24" style="92" customWidth="1"/>
    <col min="5114" max="5114" width="7.7109375" style="92" customWidth="1"/>
    <col min="5115" max="5115" width="8.7109375" style="92" customWidth="1"/>
    <col min="5116" max="5116" width="8.42578125" style="92" customWidth="1"/>
    <col min="5117" max="5117" width="9.42578125" style="92" customWidth="1"/>
    <col min="5118" max="5118" width="10.140625" style="92" customWidth="1"/>
    <col min="5119" max="5119" width="7.7109375" style="92" customWidth="1"/>
    <col min="5120" max="5121" width="9.42578125" style="92" customWidth="1"/>
    <col min="5122" max="5123" width="9.7109375" style="92" customWidth="1"/>
    <col min="5124" max="5124" width="8.7109375" style="92" customWidth="1"/>
    <col min="5125" max="5125" width="9.42578125" style="92" customWidth="1"/>
    <col min="5126" max="5126" width="6.7109375" style="92" customWidth="1"/>
    <col min="5127" max="5127" width="8.140625" style="92" customWidth="1"/>
    <col min="5128" max="5128" width="10.42578125" style="92" customWidth="1"/>
    <col min="5129" max="5129" width="8.42578125" style="92" customWidth="1"/>
    <col min="5130" max="5130" width="9.7109375" style="92" customWidth="1"/>
    <col min="5131" max="5131" width="9.42578125" style="92" customWidth="1"/>
    <col min="5132" max="5132" width="7.42578125" style="92" customWidth="1"/>
    <col min="5133" max="5133" width="8.42578125" style="92" customWidth="1"/>
    <col min="5134" max="5135" width="8.28515625" style="92" customWidth="1"/>
    <col min="5136" max="5136" width="11.42578125" style="92" customWidth="1"/>
    <col min="5137" max="5137" width="10.42578125" style="92" customWidth="1"/>
    <col min="5138" max="5138" width="9.7109375" style="92" customWidth="1"/>
    <col min="5139" max="5139" width="9.140625" style="92" customWidth="1"/>
    <col min="5140" max="5140" width="9.42578125" style="92" customWidth="1"/>
    <col min="5141" max="5141" width="7.42578125" style="92" customWidth="1"/>
    <col min="5142" max="5142" width="8.42578125" style="92" customWidth="1"/>
    <col min="5143" max="5143" width="8.28515625" style="92" customWidth="1"/>
    <col min="5144" max="5144" width="11.42578125" style="92" customWidth="1"/>
    <col min="5145" max="5157" width="8" style="92" customWidth="1"/>
    <col min="5158" max="5158" width="9.42578125" style="92" customWidth="1"/>
    <col min="5159" max="5159" width="6.7109375" style="92" customWidth="1"/>
    <col min="5160" max="5162" width="8.28515625" style="92" customWidth="1"/>
    <col min="5163" max="5163" width="8.7109375" style="92" customWidth="1"/>
    <col min="5164" max="5164" width="6.7109375" style="92" customWidth="1"/>
    <col min="5165" max="5367" width="8.7109375" style="92"/>
    <col min="5368" max="5368" width="5.140625" style="92" customWidth="1"/>
    <col min="5369" max="5369" width="24" style="92" customWidth="1"/>
    <col min="5370" max="5370" width="7.7109375" style="92" customWidth="1"/>
    <col min="5371" max="5371" width="8.7109375" style="92" customWidth="1"/>
    <col min="5372" max="5372" width="8.42578125" style="92" customWidth="1"/>
    <col min="5373" max="5373" width="9.42578125" style="92" customWidth="1"/>
    <col min="5374" max="5374" width="10.140625" style="92" customWidth="1"/>
    <col min="5375" max="5375" width="7.7109375" style="92" customWidth="1"/>
    <col min="5376" max="5377" width="9.42578125" style="92" customWidth="1"/>
    <col min="5378" max="5379" width="9.7109375" style="92" customWidth="1"/>
    <col min="5380" max="5380" width="8.7109375" style="92" customWidth="1"/>
    <col min="5381" max="5381" width="9.42578125" style="92" customWidth="1"/>
    <col min="5382" max="5382" width="6.7109375" style="92" customWidth="1"/>
    <col min="5383" max="5383" width="8.140625" style="92" customWidth="1"/>
    <col min="5384" max="5384" width="10.42578125" style="92" customWidth="1"/>
    <col min="5385" max="5385" width="8.42578125" style="92" customWidth="1"/>
    <col min="5386" max="5386" width="9.7109375" style="92" customWidth="1"/>
    <col min="5387" max="5387" width="9.42578125" style="92" customWidth="1"/>
    <col min="5388" max="5388" width="7.42578125" style="92" customWidth="1"/>
    <col min="5389" max="5389" width="8.42578125" style="92" customWidth="1"/>
    <col min="5390" max="5391" width="8.28515625" style="92" customWidth="1"/>
    <col min="5392" max="5392" width="11.42578125" style="92" customWidth="1"/>
    <col min="5393" max="5393" width="10.42578125" style="92" customWidth="1"/>
    <col min="5394" max="5394" width="9.7109375" style="92" customWidth="1"/>
    <col min="5395" max="5395" width="9.140625" style="92" customWidth="1"/>
    <col min="5396" max="5396" width="9.42578125" style="92" customWidth="1"/>
    <col min="5397" max="5397" width="7.42578125" style="92" customWidth="1"/>
    <col min="5398" max="5398" width="8.42578125" style="92" customWidth="1"/>
    <col min="5399" max="5399" width="8.28515625" style="92" customWidth="1"/>
    <col min="5400" max="5400" width="11.42578125" style="92" customWidth="1"/>
    <col min="5401" max="5413" width="8" style="92" customWidth="1"/>
    <col min="5414" max="5414" width="9.42578125" style="92" customWidth="1"/>
    <col min="5415" max="5415" width="6.7109375" style="92" customWidth="1"/>
    <col min="5416" max="5418" width="8.28515625" style="92" customWidth="1"/>
    <col min="5419" max="5419" width="8.7109375" style="92" customWidth="1"/>
    <col min="5420" max="5420" width="6.7109375" style="92" customWidth="1"/>
    <col min="5421" max="5623" width="8.7109375" style="92"/>
    <col min="5624" max="5624" width="5.140625" style="92" customWidth="1"/>
    <col min="5625" max="5625" width="24" style="92" customWidth="1"/>
    <col min="5626" max="5626" width="7.7109375" style="92" customWidth="1"/>
    <col min="5627" max="5627" width="8.7109375" style="92" customWidth="1"/>
    <col min="5628" max="5628" width="8.42578125" style="92" customWidth="1"/>
    <col min="5629" max="5629" width="9.42578125" style="92" customWidth="1"/>
    <col min="5630" max="5630" width="10.140625" style="92" customWidth="1"/>
    <col min="5631" max="5631" width="7.7109375" style="92" customWidth="1"/>
    <col min="5632" max="5633" width="9.42578125" style="92" customWidth="1"/>
    <col min="5634" max="5635" width="9.7109375" style="92" customWidth="1"/>
    <col min="5636" max="5636" width="8.7109375" style="92" customWidth="1"/>
    <col min="5637" max="5637" width="9.42578125" style="92" customWidth="1"/>
    <col min="5638" max="5638" width="6.7109375" style="92" customWidth="1"/>
    <col min="5639" max="5639" width="8.140625" style="92" customWidth="1"/>
    <col min="5640" max="5640" width="10.42578125" style="92" customWidth="1"/>
    <col min="5641" max="5641" width="8.42578125" style="92" customWidth="1"/>
    <col min="5642" max="5642" width="9.7109375" style="92" customWidth="1"/>
    <col min="5643" max="5643" width="9.42578125" style="92" customWidth="1"/>
    <col min="5644" max="5644" width="7.42578125" style="92" customWidth="1"/>
    <col min="5645" max="5645" width="8.42578125" style="92" customWidth="1"/>
    <col min="5646" max="5647" width="8.28515625" style="92" customWidth="1"/>
    <col min="5648" max="5648" width="11.42578125" style="92" customWidth="1"/>
    <col min="5649" max="5649" width="10.42578125" style="92" customWidth="1"/>
    <col min="5650" max="5650" width="9.7109375" style="92" customWidth="1"/>
    <col min="5651" max="5651" width="9.140625" style="92" customWidth="1"/>
    <col min="5652" max="5652" width="9.42578125" style="92" customWidth="1"/>
    <col min="5653" max="5653" width="7.42578125" style="92" customWidth="1"/>
    <col min="5654" max="5654" width="8.42578125" style="92" customWidth="1"/>
    <col min="5655" max="5655" width="8.28515625" style="92" customWidth="1"/>
    <col min="5656" max="5656" width="11.42578125" style="92" customWidth="1"/>
    <col min="5657" max="5669" width="8" style="92" customWidth="1"/>
    <col min="5670" max="5670" width="9.42578125" style="92" customWidth="1"/>
    <col min="5671" max="5671" width="6.7109375" style="92" customWidth="1"/>
    <col min="5672" max="5674" width="8.28515625" style="92" customWidth="1"/>
    <col min="5675" max="5675" width="8.7109375" style="92" customWidth="1"/>
    <col min="5676" max="5676" width="6.7109375" style="92" customWidth="1"/>
    <col min="5677" max="5879" width="8.7109375" style="92"/>
    <col min="5880" max="5880" width="5.140625" style="92" customWidth="1"/>
    <col min="5881" max="5881" width="24" style="92" customWidth="1"/>
    <col min="5882" max="5882" width="7.7109375" style="92" customWidth="1"/>
    <col min="5883" max="5883" width="8.7109375" style="92" customWidth="1"/>
    <col min="5884" max="5884" width="8.42578125" style="92" customWidth="1"/>
    <col min="5885" max="5885" width="9.42578125" style="92" customWidth="1"/>
    <col min="5886" max="5886" width="10.140625" style="92" customWidth="1"/>
    <col min="5887" max="5887" width="7.7109375" style="92" customWidth="1"/>
    <col min="5888" max="5889" width="9.42578125" style="92" customWidth="1"/>
    <col min="5890" max="5891" width="9.7109375" style="92" customWidth="1"/>
    <col min="5892" max="5892" width="8.7109375" style="92" customWidth="1"/>
    <col min="5893" max="5893" width="9.42578125" style="92" customWidth="1"/>
    <col min="5894" max="5894" width="6.7109375" style="92" customWidth="1"/>
    <col min="5895" max="5895" width="8.140625" style="92" customWidth="1"/>
    <col min="5896" max="5896" width="10.42578125" style="92" customWidth="1"/>
    <col min="5897" max="5897" width="8.42578125" style="92" customWidth="1"/>
    <col min="5898" max="5898" width="9.7109375" style="92" customWidth="1"/>
    <col min="5899" max="5899" width="9.42578125" style="92" customWidth="1"/>
    <col min="5900" max="5900" width="7.42578125" style="92" customWidth="1"/>
    <col min="5901" max="5901" width="8.42578125" style="92" customWidth="1"/>
    <col min="5902" max="5903" width="8.28515625" style="92" customWidth="1"/>
    <col min="5904" max="5904" width="11.42578125" style="92" customWidth="1"/>
    <col min="5905" max="5905" width="10.42578125" style="92" customWidth="1"/>
    <col min="5906" max="5906" width="9.7109375" style="92" customWidth="1"/>
    <col min="5907" max="5907" width="9.140625" style="92" customWidth="1"/>
    <col min="5908" max="5908" width="9.42578125" style="92" customWidth="1"/>
    <col min="5909" max="5909" width="7.42578125" style="92" customWidth="1"/>
    <col min="5910" max="5910" width="8.42578125" style="92" customWidth="1"/>
    <col min="5911" max="5911" width="8.28515625" style="92" customWidth="1"/>
    <col min="5912" max="5912" width="11.42578125" style="92" customWidth="1"/>
    <col min="5913" max="5925" width="8" style="92" customWidth="1"/>
    <col min="5926" max="5926" width="9.42578125" style="92" customWidth="1"/>
    <col min="5927" max="5927" width="6.7109375" style="92" customWidth="1"/>
    <col min="5928" max="5930" width="8.28515625" style="92" customWidth="1"/>
    <col min="5931" max="5931" width="8.7109375" style="92" customWidth="1"/>
    <col min="5932" max="5932" width="6.7109375" style="92" customWidth="1"/>
    <col min="5933" max="6135" width="8.7109375" style="92"/>
    <col min="6136" max="6136" width="5.140625" style="92" customWidth="1"/>
    <col min="6137" max="6137" width="24" style="92" customWidth="1"/>
    <col min="6138" max="6138" width="7.7109375" style="92" customWidth="1"/>
    <col min="6139" max="6139" width="8.7109375" style="92" customWidth="1"/>
    <col min="6140" max="6140" width="8.42578125" style="92" customWidth="1"/>
    <col min="6141" max="6141" width="9.42578125" style="92" customWidth="1"/>
    <col min="6142" max="6142" width="10.140625" style="92" customWidth="1"/>
    <col min="6143" max="6143" width="7.7109375" style="92" customWidth="1"/>
    <col min="6144" max="6145" width="9.42578125" style="92" customWidth="1"/>
    <col min="6146" max="6147" width="9.7109375" style="92" customWidth="1"/>
    <col min="6148" max="6148" width="8.7109375" style="92" customWidth="1"/>
    <col min="6149" max="6149" width="9.42578125" style="92" customWidth="1"/>
    <col min="6150" max="6150" width="6.7109375" style="92" customWidth="1"/>
    <col min="6151" max="6151" width="8.140625" style="92" customWidth="1"/>
    <col min="6152" max="6152" width="10.42578125" style="92" customWidth="1"/>
    <col min="6153" max="6153" width="8.42578125" style="92" customWidth="1"/>
    <col min="6154" max="6154" width="9.7109375" style="92" customWidth="1"/>
    <col min="6155" max="6155" width="9.42578125" style="92" customWidth="1"/>
    <col min="6156" max="6156" width="7.42578125" style="92" customWidth="1"/>
    <col min="6157" max="6157" width="8.42578125" style="92" customWidth="1"/>
    <col min="6158" max="6159" width="8.28515625" style="92" customWidth="1"/>
    <col min="6160" max="6160" width="11.42578125" style="92" customWidth="1"/>
    <col min="6161" max="6161" width="10.42578125" style="92" customWidth="1"/>
    <col min="6162" max="6162" width="9.7109375" style="92" customWidth="1"/>
    <col min="6163" max="6163" width="9.140625" style="92" customWidth="1"/>
    <col min="6164" max="6164" width="9.42578125" style="92" customWidth="1"/>
    <col min="6165" max="6165" width="7.42578125" style="92" customWidth="1"/>
    <col min="6166" max="6166" width="8.42578125" style="92" customWidth="1"/>
    <col min="6167" max="6167" width="8.28515625" style="92" customWidth="1"/>
    <col min="6168" max="6168" width="11.42578125" style="92" customWidth="1"/>
    <col min="6169" max="6181" width="8" style="92" customWidth="1"/>
    <col min="6182" max="6182" width="9.42578125" style="92" customWidth="1"/>
    <col min="6183" max="6183" width="6.7109375" style="92" customWidth="1"/>
    <col min="6184" max="6186" width="8.28515625" style="92" customWidth="1"/>
    <col min="6187" max="6187" width="8.7109375" style="92" customWidth="1"/>
    <col min="6188" max="6188" width="6.7109375" style="92" customWidth="1"/>
    <col min="6189" max="6391" width="8.7109375" style="92"/>
    <col min="6392" max="6392" width="5.140625" style="92" customWidth="1"/>
    <col min="6393" max="6393" width="24" style="92" customWidth="1"/>
    <col min="6394" max="6394" width="7.7109375" style="92" customWidth="1"/>
    <col min="6395" max="6395" width="8.7109375" style="92" customWidth="1"/>
    <col min="6396" max="6396" width="8.42578125" style="92" customWidth="1"/>
    <col min="6397" max="6397" width="9.42578125" style="92" customWidth="1"/>
    <col min="6398" max="6398" width="10.140625" style="92" customWidth="1"/>
    <col min="6399" max="6399" width="7.7109375" style="92" customWidth="1"/>
    <col min="6400" max="6401" width="9.42578125" style="92" customWidth="1"/>
    <col min="6402" max="6403" width="9.7109375" style="92" customWidth="1"/>
    <col min="6404" max="6404" width="8.7109375" style="92" customWidth="1"/>
    <col min="6405" max="6405" width="9.42578125" style="92" customWidth="1"/>
    <col min="6406" max="6406" width="6.7109375" style="92" customWidth="1"/>
    <col min="6407" max="6407" width="8.140625" style="92" customWidth="1"/>
    <col min="6408" max="6408" width="10.42578125" style="92" customWidth="1"/>
    <col min="6409" max="6409" width="8.42578125" style="92" customWidth="1"/>
    <col min="6410" max="6410" width="9.7109375" style="92" customWidth="1"/>
    <col min="6411" max="6411" width="9.42578125" style="92" customWidth="1"/>
    <col min="6412" max="6412" width="7.42578125" style="92" customWidth="1"/>
    <col min="6413" max="6413" width="8.42578125" style="92" customWidth="1"/>
    <col min="6414" max="6415" width="8.28515625" style="92" customWidth="1"/>
    <col min="6416" max="6416" width="11.42578125" style="92" customWidth="1"/>
    <col min="6417" max="6417" width="10.42578125" style="92" customWidth="1"/>
    <col min="6418" max="6418" width="9.7109375" style="92" customWidth="1"/>
    <col min="6419" max="6419" width="9.140625" style="92" customWidth="1"/>
    <col min="6420" max="6420" width="9.42578125" style="92" customWidth="1"/>
    <col min="6421" max="6421" width="7.42578125" style="92" customWidth="1"/>
    <col min="6422" max="6422" width="8.42578125" style="92" customWidth="1"/>
    <col min="6423" max="6423" width="8.28515625" style="92" customWidth="1"/>
    <col min="6424" max="6424" width="11.42578125" style="92" customWidth="1"/>
    <col min="6425" max="6437" width="8" style="92" customWidth="1"/>
    <col min="6438" max="6438" width="9.42578125" style="92" customWidth="1"/>
    <col min="6439" max="6439" width="6.7109375" style="92" customWidth="1"/>
    <col min="6440" max="6442" width="8.28515625" style="92" customWidth="1"/>
    <col min="6443" max="6443" width="8.7109375" style="92" customWidth="1"/>
    <col min="6444" max="6444" width="6.7109375" style="92" customWidth="1"/>
    <col min="6445" max="6647" width="8.7109375" style="92"/>
    <col min="6648" max="6648" width="5.140625" style="92" customWidth="1"/>
    <col min="6649" max="6649" width="24" style="92" customWidth="1"/>
    <col min="6650" max="6650" width="7.7109375" style="92" customWidth="1"/>
    <col min="6651" max="6651" width="8.7109375" style="92" customWidth="1"/>
    <col min="6652" max="6652" width="8.42578125" style="92" customWidth="1"/>
    <col min="6653" max="6653" width="9.42578125" style="92" customWidth="1"/>
    <col min="6654" max="6654" width="10.140625" style="92" customWidth="1"/>
    <col min="6655" max="6655" width="7.7109375" style="92" customWidth="1"/>
    <col min="6656" max="6657" width="9.42578125" style="92" customWidth="1"/>
    <col min="6658" max="6659" width="9.7109375" style="92" customWidth="1"/>
    <col min="6660" max="6660" width="8.7109375" style="92" customWidth="1"/>
    <col min="6661" max="6661" width="9.42578125" style="92" customWidth="1"/>
    <col min="6662" max="6662" width="6.7109375" style="92" customWidth="1"/>
    <col min="6663" max="6663" width="8.140625" style="92" customWidth="1"/>
    <col min="6664" max="6664" width="10.42578125" style="92" customWidth="1"/>
    <col min="6665" max="6665" width="8.42578125" style="92" customWidth="1"/>
    <col min="6666" max="6666" width="9.7109375" style="92" customWidth="1"/>
    <col min="6667" max="6667" width="9.42578125" style="92" customWidth="1"/>
    <col min="6668" max="6668" width="7.42578125" style="92" customWidth="1"/>
    <col min="6669" max="6669" width="8.42578125" style="92" customWidth="1"/>
    <col min="6670" max="6671" width="8.28515625" style="92" customWidth="1"/>
    <col min="6672" max="6672" width="11.42578125" style="92" customWidth="1"/>
    <col min="6673" max="6673" width="10.42578125" style="92" customWidth="1"/>
    <col min="6674" max="6674" width="9.7109375" style="92" customWidth="1"/>
    <col min="6675" max="6675" width="9.140625" style="92" customWidth="1"/>
    <col min="6676" max="6676" width="9.42578125" style="92" customWidth="1"/>
    <col min="6677" max="6677" width="7.42578125" style="92" customWidth="1"/>
    <col min="6678" max="6678" width="8.42578125" style="92" customWidth="1"/>
    <col min="6679" max="6679" width="8.28515625" style="92" customWidth="1"/>
    <col min="6680" max="6680" width="11.42578125" style="92" customWidth="1"/>
    <col min="6681" max="6693" width="8" style="92" customWidth="1"/>
    <col min="6694" max="6694" width="9.42578125" style="92" customWidth="1"/>
    <col min="6695" max="6695" width="6.7109375" style="92" customWidth="1"/>
    <col min="6696" max="6698" width="8.28515625" style="92" customWidth="1"/>
    <col min="6699" max="6699" width="8.7109375" style="92" customWidth="1"/>
    <col min="6700" max="6700" width="6.7109375" style="92" customWidth="1"/>
    <col min="6701" max="6903" width="8.7109375" style="92"/>
    <col min="6904" max="6904" width="5.140625" style="92" customWidth="1"/>
    <col min="6905" max="6905" width="24" style="92" customWidth="1"/>
    <col min="6906" max="6906" width="7.7109375" style="92" customWidth="1"/>
    <col min="6907" max="6907" width="8.7109375" style="92" customWidth="1"/>
    <col min="6908" max="6908" width="8.42578125" style="92" customWidth="1"/>
    <col min="6909" max="6909" width="9.42578125" style="92" customWidth="1"/>
    <col min="6910" max="6910" width="10.140625" style="92" customWidth="1"/>
    <col min="6911" max="6911" width="7.7109375" style="92" customWidth="1"/>
    <col min="6912" max="6913" width="9.42578125" style="92" customWidth="1"/>
    <col min="6914" max="6915" width="9.7109375" style="92" customWidth="1"/>
    <col min="6916" max="6916" width="8.7109375" style="92" customWidth="1"/>
    <col min="6917" max="6917" width="9.42578125" style="92" customWidth="1"/>
    <col min="6918" max="6918" width="6.7109375" style="92" customWidth="1"/>
    <col min="6919" max="6919" width="8.140625" style="92" customWidth="1"/>
    <col min="6920" max="6920" width="10.42578125" style="92" customWidth="1"/>
    <col min="6921" max="6921" width="8.42578125" style="92" customWidth="1"/>
    <col min="6922" max="6922" width="9.7109375" style="92" customWidth="1"/>
    <col min="6923" max="6923" width="9.42578125" style="92" customWidth="1"/>
    <col min="6924" max="6924" width="7.42578125" style="92" customWidth="1"/>
    <col min="6925" max="6925" width="8.42578125" style="92" customWidth="1"/>
    <col min="6926" max="6927" width="8.28515625" style="92" customWidth="1"/>
    <col min="6928" max="6928" width="11.42578125" style="92" customWidth="1"/>
    <col min="6929" max="6929" width="10.42578125" style="92" customWidth="1"/>
    <col min="6930" max="6930" width="9.7109375" style="92" customWidth="1"/>
    <col min="6931" max="6931" width="9.140625" style="92" customWidth="1"/>
    <col min="6932" max="6932" width="9.42578125" style="92" customWidth="1"/>
    <col min="6933" max="6933" width="7.42578125" style="92" customWidth="1"/>
    <col min="6934" max="6934" width="8.42578125" style="92" customWidth="1"/>
    <col min="6935" max="6935" width="8.28515625" style="92" customWidth="1"/>
    <col min="6936" max="6936" width="11.42578125" style="92" customWidth="1"/>
    <col min="6937" max="6949" width="8" style="92" customWidth="1"/>
    <col min="6950" max="6950" width="9.42578125" style="92" customWidth="1"/>
    <col min="6951" max="6951" width="6.7109375" style="92" customWidth="1"/>
    <col min="6952" max="6954" width="8.28515625" style="92" customWidth="1"/>
    <col min="6955" max="6955" width="8.7109375" style="92" customWidth="1"/>
    <col min="6956" max="6956" width="6.7109375" style="92" customWidth="1"/>
    <col min="6957" max="7159" width="8.7109375" style="92"/>
    <col min="7160" max="7160" width="5.140625" style="92" customWidth="1"/>
    <col min="7161" max="7161" width="24" style="92" customWidth="1"/>
    <col min="7162" max="7162" width="7.7109375" style="92" customWidth="1"/>
    <col min="7163" max="7163" width="8.7109375" style="92" customWidth="1"/>
    <col min="7164" max="7164" width="8.42578125" style="92" customWidth="1"/>
    <col min="7165" max="7165" width="9.42578125" style="92" customWidth="1"/>
    <col min="7166" max="7166" width="10.140625" style="92" customWidth="1"/>
    <col min="7167" max="7167" width="7.7109375" style="92" customWidth="1"/>
    <col min="7168" max="7169" width="9.42578125" style="92" customWidth="1"/>
    <col min="7170" max="7171" width="9.7109375" style="92" customWidth="1"/>
    <col min="7172" max="7172" width="8.7109375" style="92" customWidth="1"/>
    <col min="7173" max="7173" width="9.42578125" style="92" customWidth="1"/>
    <col min="7174" max="7174" width="6.7109375" style="92" customWidth="1"/>
    <col min="7175" max="7175" width="8.140625" style="92" customWidth="1"/>
    <col min="7176" max="7176" width="10.42578125" style="92" customWidth="1"/>
    <col min="7177" max="7177" width="8.42578125" style="92" customWidth="1"/>
    <col min="7178" max="7178" width="9.7109375" style="92" customWidth="1"/>
    <col min="7179" max="7179" width="9.42578125" style="92" customWidth="1"/>
    <col min="7180" max="7180" width="7.42578125" style="92" customWidth="1"/>
    <col min="7181" max="7181" width="8.42578125" style="92" customWidth="1"/>
    <col min="7182" max="7183" width="8.28515625" style="92" customWidth="1"/>
    <col min="7184" max="7184" width="11.42578125" style="92" customWidth="1"/>
    <col min="7185" max="7185" width="10.42578125" style="92" customWidth="1"/>
    <col min="7186" max="7186" width="9.7109375" style="92" customWidth="1"/>
    <col min="7187" max="7187" width="9.140625" style="92" customWidth="1"/>
    <col min="7188" max="7188" width="9.42578125" style="92" customWidth="1"/>
    <col min="7189" max="7189" width="7.42578125" style="92" customWidth="1"/>
    <col min="7190" max="7190" width="8.42578125" style="92" customWidth="1"/>
    <col min="7191" max="7191" width="8.28515625" style="92" customWidth="1"/>
    <col min="7192" max="7192" width="11.42578125" style="92" customWidth="1"/>
    <col min="7193" max="7205" width="8" style="92" customWidth="1"/>
    <col min="7206" max="7206" width="9.42578125" style="92" customWidth="1"/>
    <col min="7207" max="7207" width="6.7109375" style="92" customWidth="1"/>
    <col min="7208" max="7210" width="8.28515625" style="92" customWidth="1"/>
    <col min="7211" max="7211" width="8.7109375" style="92" customWidth="1"/>
    <col min="7212" max="7212" width="6.7109375" style="92" customWidth="1"/>
    <col min="7213" max="7415" width="8.7109375" style="92"/>
    <col min="7416" max="7416" width="5.140625" style="92" customWidth="1"/>
    <col min="7417" max="7417" width="24" style="92" customWidth="1"/>
    <col min="7418" max="7418" width="7.7109375" style="92" customWidth="1"/>
    <col min="7419" max="7419" width="8.7109375" style="92" customWidth="1"/>
    <col min="7420" max="7420" width="8.42578125" style="92" customWidth="1"/>
    <col min="7421" max="7421" width="9.42578125" style="92" customWidth="1"/>
    <col min="7422" max="7422" width="10.140625" style="92" customWidth="1"/>
    <col min="7423" max="7423" width="7.7109375" style="92" customWidth="1"/>
    <col min="7424" max="7425" width="9.42578125" style="92" customWidth="1"/>
    <col min="7426" max="7427" width="9.7109375" style="92" customWidth="1"/>
    <col min="7428" max="7428" width="8.7109375" style="92" customWidth="1"/>
    <col min="7429" max="7429" width="9.42578125" style="92" customWidth="1"/>
    <col min="7430" max="7430" width="6.7109375" style="92" customWidth="1"/>
    <col min="7431" max="7431" width="8.140625" style="92" customWidth="1"/>
    <col min="7432" max="7432" width="10.42578125" style="92" customWidth="1"/>
    <col min="7433" max="7433" width="8.42578125" style="92" customWidth="1"/>
    <col min="7434" max="7434" width="9.7109375" style="92" customWidth="1"/>
    <col min="7435" max="7435" width="9.42578125" style="92" customWidth="1"/>
    <col min="7436" max="7436" width="7.42578125" style="92" customWidth="1"/>
    <col min="7437" max="7437" width="8.42578125" style="92" customWidth="1"/>
    <col min="7438" max="7439" width="8.28515625" style="92" customWidth="1"/>
    <col min="7440" max="7440" width="11.42578125" style="92" customWidth="1"/>
    <col min="7441" max="7441" width="10.42578125" style="92" customWidth="1"/>
    <col min="7442" max="7442" width="9.7109375" style="92" customWidth="1"/>
    <col min="7443" max="7443" width="9.140625" style="92" customWidth="1"/>
    <col min="7444" max="7444" width="9.42578125" style="92" customWidth="1"/>
    <col min="7445" max="7445" width="7.42578125" style="92" customWidth="1"/>
    <col min="7446" max="7446" width="8.42578125" style="92" customWidth="1"/>
    <col min="7447" max="7447" width="8.28515625" style="92" customWidth="1"/>
    <col min="7448" max="7448" width="11.42578125" style="92" customWidth="1"/>
    <col min="7449" max="7461" width="8" style="92" customWidth="1"/>
    <col min="7462" max="7462" width="9.42578125" style="92" customWidth="1"/>
    <col min="7463" max="7463" width="6.7109375" style="92" customWidth="1"/>
    <col min="7464" max="7466" width="8.28515625" style="92" customWidth="1"/>
    <col min="7467" max="7467" width="8.7109375" style="92" customWidth="1"/>
    <col min="7468" max="7468" width="6.7109375" style="92" customWidth="1"/>
    <col min="7469" max="7671" width="8.7109375" style="92"/>
    <col min="7672" max="7672" width="5.140625" style="92" customWidth="1"/>
    <col min="7673" max="7673" width="24" style="92" customWidth="1"/>
    <col min="7674" max="7674" width="7.7109375" style="92" customWidth="1"/>
    <col min="7675" max="7675" width="8.7109375" style="92" customWidth="1"/>
    <col min="7676" max="7676" width="8.42578125" style="92" customWidth="1"/>
    <col min="7677" max="7677" width="9.42578125" style="92" customWidth="1"/>
    <col min="7678" max="7678" width="10.140625" style="92" customWidth="1"/>
    <col min="7679" max="7679" width="7.7109375" style="92" customWidth="1"/>
    <col min="7680" max="7681" width="9.42578125" style="92" customWidth="1"/>
    <col min="7682" max="7683" width="9.7109375" style="92" customWidth="1"/>
    <col min="7684" max="7684" width="8.7109375" style="92" customWidth="1"/>
    <col min="7685" max="7685" width="9.42578125" style="92" customWidth="1"/>
    <col min="7686" max="7686" width="6.7109375" style="92" customWidth="1"/>
    <col min="7687" max="7687" width="8.140625" style="92" customWidth="1"/>
    <col min="7688" max="7688" width="10.42578125" style="92" customWidth="1"/>
    <col min="7689" max="7689" width="8.42578125" style="92" customWidth="1"/>
    <col min="7690" max="7690" width="9.7109375" style="92" customWidth="1"/>
    <col min="7691" max="7691" width="9.42578125" style="92" customWidth="1"/>
    <col min="7692" max="7692" width="7.42578125" style="92" customWidth="1"/>
    <col min="7693" max="7693" width="8.42578125" style="92" customWidth="1"/>
    <col min="7694" max="7695" width="8.28515625" style="92" customWidth="1"/>
    <col min="7696" max="7696" width="11.42578125" style="92" customWidth="1"/>
    <col min="7697" max="7697" width="10.42578125" style="92" customWidth="1"/>
    <col min="7698" max="7698" width="9.7109375" style="92" customWidth="1"/>
    <col min="7699" max="7699" width="9.140625" style="92" customWidth="1"/>
    <col min="7700" max="7700" width="9.42578125" style="92" customWidth="1"/>
    <col min="7701" max="7701" width="7.42578125" style="92" customWidth="1"/>
    <col min="7702" max="7702" width="8.42578125" style="92" customWidth="1"/>
    <col min="7703" max="7703" width="8.28515625" style="92" customWidth="1"/>
    <col min="7704" max="7704" width="11.42578125" style="92" customWidth="1"/>
    <col min="7705" max="7717" width="8" style="92" customWidth="1"/>
    <col min="7718" max="7718" width="9.42578125" style="92" customWidth="1"/>
    <col min="7719" max="7719" width="6.7109375" style="92" customWidth="1"/>
    <col min="7720" max="7722" width="8.28515625" style="92" customWidth="1"/>
    <col min="7723" max="7723" width="8.7109375" style="92" customWidth="1"/>
    <col min="7724" max="7724" width="6.7109375" style="92" customWidth="1"/>
    <col min="7725" max="7927" width="8.7109375" style="92"/>
    <col min="7928" max="7928" width="5.140625" style="92" customWidth="1"/>
    <col min="7929" max="7929" width="24" style="92" customWidth="1"/>
    <col min="7930" max="7930" width="7.7109375" style="92" customWidth="1"/>
    <col min="7931" max="7931" width="8.7109375" style="92" customWidth="1"/>
    <col min="7932" max="7932" width="8.42578125" style="92" customWidth="1"/>
    <col min="7933" max="7933" width="9.42578125" style="92" customWidth="1"/>
    <col min="7934" max="7934" width="10.140625" style="92" customWidth="1"/>
    <col min="7935" max="7935" width="7.7109375" style="92" customWidth="1"/>
    <col min="7936" max="7937" width="9.42578125" style="92" customWidth="1"/>
    <col min="7938" max="7939" width="9.7109375" style="92" customWidth="1"/>
    <col min="7940" max="7940" width="8.7109375" style="92" customWidth="1"/>
    <col min="7941" max="7941" width="9.42578125" style="92" customWidth="1"/>
    <col min="7942" max="7942" width="6.7109375" style="92" customWidth="1"/>
    <col min="7943" max="7943" width="8.140625" style="92" customWidth="1"/>
    <col min="7944" max="7944" width="10.42578125" style="92" customWidth="1"/>
    <col min="7945" max="7945" width="8.42578125" style="92" customWidth="1"/>
    <col min="7946" max="7946" width="9.7109375" style="92" customWidth="1"/>
    <col min="7947" max="7947" width="9.42578125" style="92" customWidth="1"/>
    <col min="7948" max="7948" width="7.42578125" style="92" customWidth="1"/>
    <col min="7949" max="7949" width="8.42578125" style="92" customWidth="1"/>
    <col min="7950" max="7951" width="8.28515625" style="92" customWidth="1"/>
    <col min="7952" max="7952" width="11.42578125" style="92" customWidth="1"/>
    <col min="7953" max="7953" width="10.42578125" style="92" customWidth="1"/>
    <col min="7954" max="7954" width="9.7109375" style="92" customWidth="1"/>
    <col min="7955" max="7955" width="9.140625" style="92" customWidth="1"/>
    <col min="7956" max="7956" width="9.42578125" style="92" customWidth="1"/>
    <col min="7957" max="7957" width="7.42578125" style="92" customWidth="1"/>
    <col min="7958" max="7958" width="8.42578125" style="92" customWidth="1"/>
    <col min="7959" max="7959" width="8.28515625" style="92" customWidth="1"/>
    <col min="7960" max="7960" width="11.42578125" style="92" customWidth="1"/>
    <col min="7961" max="7973" width="8" style="92" customWidth="1"/>
    <col min="7974" max="7974" width="9.42578125" style="92" customWidth="1"/>
    <col min="7975" max="7975" width="6.7109375" style="92" customWidth="1"/>
    <col min="7976" max="7978" width="8.28515625" style="92" customWidth="1"/>
    <col min="7979" max="7979" width="8.7109375" style="92" customWidth="1"/>
    <col min="7980" max="7980" width="6.7109375" style="92" customWidth="1"/>
    <col min="7981" max="8183" width="8.7109375" style="92"/>
    <col min="8184" max="8184" width="5.140625" style="92" customWidth="1"/>
    <col min="8185" max="8185" width="24" style="92" customWidth="1"/>
    <col min="8186" max="8186" width="7.7109375" style="92" customWidth="1"/>
    <col min="8187" max="8187" width="8.7109375" style="92" customWidth="1"/>
    <col min="8188" max="8188" width="8.42578125" style="92" customWidth="1"/>
    <col min="8189" max="8189" width="9.42578125" style="92" customWidth="1"/>
    <col min="8190" max="8190" width="10.140625" style="92" customWidth="1"/>
    <col min="8191" max="8191" width="7.7109375" style="92" customWidth="1"/>
    <col min="8192" max="8193" width="9.42578125" style="92" customWidth="1"/>
    <col min="8194" max="8195" width="9.7109375" style="92" customWidth="1"/>
    <col min="8196" max="8196" width="8.7109375" style="92" customWidth="1"/>
    <col min="8197" max="8197" width="9.42578125" style="92" customWidth="1"/>
    <col min="8198" max="8198" width="6.7109375" style="92" customWidth="1"/>
    <col min="8199" max="8199" width="8.140625" style="92" customWidth="1"/>
    <col min="8200" max="8200" width="10.42578125" style="92" customWidth="1"/>
    <col min="8201" max="8201" width="8.42578125" style="92" customWidth="1"/>
    <col min="8202" max="8202" width="9.7109375" style="92" customWidth="1"/>
    <col min="8203" max="8203" width="9.42578125" style="92" customWidth="1"/>
    <col min="8204" max="8204" width="7.42578125" style="92" customWidth="1"/>
    <col min="8205" max="8205" width="8.42578125" style="92" customWidth="1"/>
    <col min="8206" max="8207" width="8.28515625" style="92" customWidth="1"/>
    <col min="8208" max="8208" width="11.42578125" style="92" customWidth="1"/>
    <col min="8209" max="8209" width="10.42578125" style="92" customWidth="1"/>
    <col min="8210" max="8210" width="9.7109375" style="92" customWidth="1"/>
    <col min="8211" max="8211" width="9.140625" style="92" customWidth="1"/>
    <col min="8212" max="8212" width="9.42578125" style="92" customWidth="1"/>
    <col min="8213" max="8213" width="7.42578125" style="92" customWidth="1"/>
    <col min="8214" max="8214" width="8.42578125" style="92" customWidth="1"/>
    <col min="8215" max="8215" width="8.28515625" style="92" customWidth="1"/>
    <col min="8216" max="8216" width="11.42578125" style="92" customWidth="1"/>
    <col min="8217" max="8229" width="8" style="92" customWidth="1"/>
    <col min="8230" max="8230" width="9.42578125" style="92" customWidth="1"/>
    <col min="8231" max="8231" width="6.7109375" style="92" customWidth="1"/>
    <col min="8232" max="8234" width="8.28515625" style="92" customWidth="1"/>
    <col min="8235" max="8235" width="8.7109375" style="92" customWidth="1"/>
    <col min="8236" max="8236" width="6.7109375" style="92" customWidth="1"/>
    <col min="8237" max="8439" width="8.7109375" style="92"/>
    <col min="8440" max="8440" width="5.140625" style="92" customWidth="1"/>
    <col min="8441" max="8441" width="24" style="92" customWidth="1"/>
    <col min="8442" max="8442" width="7.7109375" style="92" customWidth="1"/>
    <col min="8443" max="8443" width="8.7109375" style="92" customWidth="1"/>
    <col min="8444" max="8444" width="8.42578125" style="92" customWidth="1"/>
    <col min="8445" max="8445" width="9.42578125" style="92" customWidth="1"/>
    <col min="8446" max="8446" width="10.140625" style="92" customWidth="1"/>
    <col min="8447" max="8447" width="7.7109375" style="92" customWidth="1"/>
    <col min="8448" max="8449" width="9.42578125" style="92" customWidth="1"/>
    <col min="8450" max="8451" width="9.7109375" style="92" customWidth="1"/>
    <col min="8452" max="8452" width="8.7109375" style="92" customWidth="1"/>
    <col min="8453" max="8453" width="9.42578125" style="92" customWidth="1"/>
    <col min="8454" max="8454" width="6.7109375" style="92" customWidth="1"/>
    <col min="8455" max="8455" width="8.140625" style="92" customWidth="1"/>
    <col min="8456" max="8456" width="10.42578125" style="92" customWidth="1"/>
    <col min="8457" max="8457" width="8.42578125" style="92" customWidth="1"/>
    <col min="8458" max="8458" width="9.7109375" style="92" customWidth="1"/>
    <col min="8459" max="8459" width="9.42578125" style="92" customWidth="1"/>
    <col min="8460" max="8460" width="7.42578125" style="92" customWidth="1"/>
    <col min="8461" max="8461" width="8.42578125" style="92" customWidth="1"/>
    <col min="8462" max="8463" width="8.28515625" style="92" customWidth="1"/>
    <col min="8464" max="8464" width="11.42578125" style="92" customWidth="1"/>
    <col min="8465" max="8465" width="10.42578125" style="92" customWidth="1"/>
    <col min="8466" max="8466" width="9.7109375" style="92" customWidth="1"/>
    <col min="8467" max="8467" width="9.140625" style="92" customWidth="1"/>
    <col min="8468" max="8468" width="9.42578125" style="92" customWidth="1"/>
    <col min="8469" max="8469" width="7.42578125" style="92" customWidth="1"/>
    <col min="8470" max="8470" width="8.42578125" style="92" customWidth="1"/>
    <col min="8471" max="8471" width="8.28515625" style="92" customWidth="1"/>
    <col min="8472" max="8472" width="11.42578125" style="92" customWidth="1"/>
    <col min="8473" max="8485" width="8" style="92" customWidth="1"/>
    <col min="8486" max="8486" width="9.42578125" style="92" customWidth="1"/>
    <col min="8487" max="8487" width="6.7109375" style="92" customWidth="1"/>
    <col min="8488" max="8490" width="8.28515625" style="92" customWidth="1"/>
    <col min="8491" max="8491" width="8.7109375" style="92" customWidth="1"/>
    <col min="8492" max="8492" width="6.7109375" style="92" customWidth="1"/>
    <col min="8493" max="8695" width="8.7109375" style="92"/>
    <col min="8696" max="8696" width="5.140625" style="92" customWidth="1"/>
    <col min="8697" max="8697" width="24" style="92" customWidth="1"/>
    <col min="8698" max="8698" width="7.7109375" style="92" customWidth="1"/>
    <col min="8699" max="8699" width="8.7109375" style="92" customWidth="1"/>
    <col min="8700" max="8700" width="8.42578125" style="92" customWidth="1"/>
    <col min="8701" max="8701" width="9.42578125" style="92" customWidth="1"/>
    <col min="8702" max="8702" width="10.140625" style="92" customWidth="1"/>
    <col min="8703" max="8703" width="7.7109375" style="92" customWidth="1"/>
    <col min="8704" max="8705" width="9.42578125" style="92" customWidth="1"/>
    <col min="8706" max="8707" width="9.7109375" style="92" customWidth="1"/>
    <col min="8708" max="8708" width="8.7109375" style="92" customWidth="1"/>
    <col min="8709" max="8709" width="9.42578125" style="92" customWidth="1"/>
    <col min="8710" max="8710" width="6.7109375" style="92" customWidth="1"/>
    <col min="8711" max="8711" width="8.140625" style="92" customWidth="1"/>
    <col min="8712" max="8712" width="10.42578125" style="92" customWidth="1"/>
    <col min="8713" max="8713" width="8.42578125" style="92" customWidth="1"/>
    <col min="8714" max="8714" width="9.7109375" style="92" customWidth="1"/>
    <col min="8715" max="8715" width="9.42578125" style="92" customWidth="1"/>
    <col min="8716" max="8716" width="7.42578125" style="92" customWidth="1"/>
    <col min="8717" max="8717" width="8.42578125" style="92" customWidth="1"/>
    <col min="8718" max="8719" width="8.28515625" style="92" customWidth="1"/>
    <col min="8720" max="8720" width="11.42578125" style="92" customWidth="1"/>
    <col min="8721" max="8721" width="10.42578125" style="92" customWidth="1"/>
    <col min="8722" max="8722" width="9.7109375" style="92" customWidth="1"/>
    <col min="8723" max="8723" width="9.140625" style="92" customWidth="1"/>
    <col min="8724" max="8724" width="9.42578125" style="92" customWidth="1"/>
    <col min="8725" max="8725" width="7.42578125" style="92" customWidth="1"/>
    <col min="8726" max="8726" width="8.42578125" style="92" customWidth="1"/>
    <col min="8727" max="8727" width="8.28515625" style="92" customWidth="1"/>
    <col min="8728" max="8728" width="11.42578125" style="92" customWidth="1"/>
    <col min="8729" max="8741" width="8" style="92" customWidth="1"/>
    <col min="8742" max="8742" width="9.42578125" style="92" customWidth="1"/>
    <col min="8743" max="8743" width="6.7109375" style="92" customWidth="1"/>
    <col min="8744" max="8746" width="8.28515625" style="92" customWidth="1"/>
    <col min="8747" max="8747" width="8.7109375" style="92" customWidth="1"/>
    <col min="8748" max="8748" width="6.7109375" style="92" customWidth="1"/>
    <col min="8749" max="8951" width="8.7109375" style="92"/>
    <col min="8952" max="8952" width="5.140625" style="92" customWidth="1"/>
    <col min="8953" max="8953" width="24" style="92" customWidth="1"/>
    <col min="8954" max="8954" width="7.7109375" style="92" customWidth="1"/>
    <col min="8955" max="8955" width="8.7109375" style="92" customWidth="1"/>
    <col min="8956" max="8956" width="8.42578125" style="92" customWidth="1"/>
    <col min="8957" max="8957" width="9.42578125" style="92" customWidth="1"/>
    <col min="8958" max="8958" width="10.140625" style="92" customWidth="1"/>
    <col min="8959" max="8959" width="7.7109375" style="92" customWidth="1"/>
    <col min="8960" max="8961" width="9.42578125" style="92" customWidth="1"/>
    <col min="8962" max="8963" width="9.7109375" style="92" customWidth="1"/>
    <col min="8964" max="8964" width="8.7109375" style="92" customWidth="1"/>
    <col min="8965" max="8965" width="9.42578125" style="92" customWidth="1"/>
    <col min="8966" max="8966" width="6.7109375" style="92" customWidth="1"/>
    <col min="8967" max="8967" width="8.140625" style="92" customWidth="1"/>
    <col min="8968" max="8968" width="10.42578125" style="92" customWidth="1"/>
    <col min="8969" max="8969" width="8.42578125" style="92" customWidth="1"/>
    <col min="8970" max="8970" width="9.7109375" style="92" customWidth="1"/>
    <col min="8971" max="8971" width="9.42578125" style="92" customWidth="1"/>
    <col min="8972" max="8972" width="7.42578125" style="92" customWidth="1"/>
    <col min="8973" max="8973" width="8.42578125" style="92" customWidth="1"/>
    <col min="8974" max="8975" width="8.28515625" style="92" customWidth="1"/>
    <col min="8976" max="8976" width="11.42578125" style="92" customWidth="1"/>
    <col min="8977" max="8977" width="10.42578125" style="92" customWidth="1"/>
    <col min="8978" max="8978" width="9.7109375" style="92" customWidth="1"/>
    <col min="8979" max="8979" width="9.140625" style="92" customWidth="1"/>
    <col min="8980" max="8980" width="9.42578125" style="92" customWidth="1"/>
    <col min="8981" max="8981" width="7.42578125" style="92" customWidth="1"/>
    <col min="8982" max="8982" width="8.42578125" style="92" customWidth="1"/>
    <col min="8983" max="8983" width="8.28515625" style="92" customWidth="1"/>
    <col min="8984" max="8984" width="11.42578125" style="92" customWidth="1"/>
    <col min="8985" max="8997" width="8" style="92" customWidth="1"/>
    <col min="8998" max="8998" width="9.42578125" style="92" customWidth="1"/>
    <col min="8999" max="8999" width="6.7109375" style="92" customWidth="1"/>
    <col min="9000" max="9002" width="8.28515625" style="92" customWidth="1"/>
    <col min="9003" max="9003" width="8.7109375" style="92" customWidth="1"/>
    <col min="9004" max="9004" width="6.7109375" style="92" customWidth="1"/>
    <col min="9005" max="9207" width="8.7109375" style="92"/>
    <col min="9208" max="9208" width="5.140625" style="92" customWidth="1"/>
    <col min="9209" max="9209" width="24" style="92" customWidth="1"/>
    <col min="9210" max="9210" width="7.7109375" style="92" customWidth="1"/>
    <col min="9211" max="9211" width="8.7109375" style="92" customWidth="1"/>
    <col min="9212" max="9212" width="8.42578125" style="92" customWidth="1"/>
    <col min="9213" max="9213" width="9.42578125" style="92" customWidth="1"/>
    <col min="9214" max="9214" width="10.140625" style="92" customWidth="1"/>
    <col min="9215" max="9215" width="7.7109375" style="92" customWidth="1"/>
    <col min="9216" max="9217" width="9.42578125" style="92" customWidth="1"/>
    <col min="9218" max="9219" width="9.7109375" style="92" customWidth="1"/>
    <col min="9220" max="9220" width="8.7109375" style="92" customWidth="1"/>
    <col min="9221" max="9221" width="9.42578125" style="92" customWidth="1"/>
    <col min="9222" max="9222" width="6.7109375" style="92" customWidth="1"/>
    <col min="9223" max="9223" width="8.140625" style="92" customWidth="1"/>
    <col min="9224" max="9224" width="10.42578125" style="92" customWidth="1"/>
    <col min="9225" max="9225" width="8.42578125" style="92" customWidth="1"/>
    <col min="9226" max="9226" width="9.7109375" style="92" customWidth="1"/>
    <col min="9227" max="9227" width="9.42578125" style="92" customWidth="1"/>
    <col min="9228" max="9228" width="7.42578125" style="92" customWidth="1"/>
    <col min="9229" max="9229" width="8.42578125" style="92" customWidth="1"/>
    <col min="9230" max="9231" width="8.28515625" style="92" customWidth="1"/>
    <col min="9232" max="9232" width="11.42578125" style="92" customWidth="1"/>
    <col min="9233" max="9233" width="10.42578125" style="92" customWidth="1"/>
    <col min="9234" max="9234" width="9.7109375" style="92" customWidth="1"/>
    <col min="9235" max="9235" width="9.140625" style="92" customWidth="1"/>
    <col min="9236" max="9236" width="9.42578125" style="92" customWidth="1"/>
    <col min="9237" max="9237" width="7.42578125" style="92" customWidth="1"/>
    <col min="9238" max="9238" width="8.42578125" style="92" customWidth="1"/>
    <col min="9239" max="9239" width="8.28515625" style="92" customWidth="1"/>
    <col min="9240" max="9240" width="11.42578125" style="92" customWidth="1"/>
    <col min="9241" max="9253" width="8" style="92" customWidth="1"/>
    <col min="9254" max="9254" width="9.42578125" style="92" customWidth="1"/>
    <col min="9255" max="9255" width="6.7109375" style="92" customWidth="1"/>
    <col min="9256" max="9258" width="8.28515625" style="92" customWidth="1"/>
    <col min="9259" max="9259" width="8.7109375" style="92" customWidth="1"/>
    <col min="9260" max="9260" width="6.7109375" style="92" customWidth="1"/>
    <col min="9261" max="9463" width="8.7109375" style="92"/>
    <col min="9464" max="9464" width="5.140625" style="92" customWidth="1"/>
    <col min="9465" max="9465" width="24" style="92" customWidth="1"/>
    <col min="9466" max="9466" width="7.7109375" style="92" customWidth="1"/>
    <col min="9467" max="9467" width="8.7109375" style="92" customWidth="1"/>
    <col min="9468" max="9468" width="8.42578125" style="92" customWidth="1"/>
    <col min="9469" max="9469" width="9.42578125" style="92" customWidth="1"/>
    <col min="9470" max="9470" width="10.140625" style="92" customWidth="1"/>
    <col min="9471" max="9471" width="7.7109375" style="92" customWidth="1"/>
    <col min="9472" max="9473" width="9.42578125" style="92" customWidth="1"/>
    <col min="9474" max="9475" width="9.7109375" style="92" customWidth="1"/>
    <col min="9476" max="9476" width="8.7109375" style="92" customWidth="1"/>
    <col min="9477" max="9477" width="9.42578125" style="92" customWidth="1"/>
    <col min="9478" max="9478" width="6.7109375" style="92" customWidth="1"/>
    <col min="9479" max="9479" width="8.140625" style="92" customWidth="1"/>
    <col min="9480" max="9480" width="10.42578125" style="92" customWidth="1"/>
    <col min="9481" max="9481" width="8.42578125" style="92" customWidth="1"/>
    <col min="9482" max="9482" width="9.7109375" style="92" customWidth="1"/>
    <col min="9483" max="9483" width="9.42578125" style="92" customWidth="1"/>
    <col min="9484" max="9484" width="7.42578125" style="92" customWidth="1"/>
    <col min="9485" max="9485" width="8.42578125" style="92" customWidth="1"/>
    <col min="9486" max="9487" width="8.28515625" style="92" customWidth="1"/>
    <col min="9488" max="9488" width="11.42578125" style="92" customWidth="1"/>
    <col min="9489" max="9489" width="10.42578125" style="92" customWidth="1"/>
    <col min="9490" max="9490" width="9.7109375" style="92" customWidth="1"/>
    <col min="9491" max="9491" width="9.140625" style="92" customWidth="1"/>
    <col min="9492" max="9492" width="9.42578125" style="92" customWidth="1"/>
    <col min="9493" max="9493" width="7.42578125" style="92" customWidth="1"/>
    <col min="9494" max="9494" width="8.42578125" style="92" customWidth="1"/>
    <col min="9495" max="9495" width="8.28515625" style="92" customWidth="1"/>
    <col min="9496" max="9496" width="11.42578125" style="92" customWidth="1"/>
    <col min="9497" max="9509" width="8" style="92" customWidth="1"/>
    <col min="9510" max="9510" width="9.42578125" style="92" customWidth="1"/>
    <col min="9511" max="9511" width="6.7109375" style="92" customWidth="1"/>
    <col min="9512" max="9514" width="8.28515625" style="92" customWidth="1"/>
    <col min="9515" max="9515" width="8.7109375" style="92" customWidth="1"/>
    <col min="9516" max="9516" width="6.7109375" style="92" customWidth="1"/>
    <col min="9517" max="9719" width="8.7109375" style="92"/>
    <col min="9720" max="9720" width="5.140625" style="92" customWidth="1"/>
    <col min="9721" max="9721" width="24" style="92" customWidth="1"/>
    <col min="9722" max="9722" width="7.7109375" style="92" customWidth="1"/>
    <col min="9723" max="9723" width="8.7109375" style="92" customWidth="1"/>
    <col min="9724" max="9724" width="8.42578125" style="92" customWidth="1"/>
    <col min="9725" max="9725" width="9.42578125" style="92" customWidth="1"/>
    <col min="9726" max="9726" width="10.140625" style="92" customWidth="1"/>
    <col min="9727" max="9727" width="7.7109375" style="92" customWidth="1"/>
    <col min="9728" max="9729" width="9.42578125" style="92" customWidth="1"/>
    <col min="9730" max="9731" width="9.7109375" style="92" customWidth="1"/>
    <col min="9732" max="9732" width="8.7109375" style="92" customWidth="1"/>
    <col min="9733" max="9733" width="9.42578125" style="92" customWidth="1"/>
    <col min="9734" max="9734" width="6.7109375" style="92" customWidth="1"/>
    <col min="9735" max="9735" width="8.140625" style="92" customWidth="1"/>
    <col min="9736" max="9736" width="10.42578125" style="92" customWidth="1"/>
    <col min="9737" max="9737" width="8.42578125" style="92" customWidth="1"/>
    <col min="9738" max="9738" width="9.7109375" style="92" customWidth="1"/>
    <col min="9739" max="9739" width="9.42578125" style="92" customWidth="1"/>
    <col min="9740" max="9740" width="7.42578125" style="92" customWidth="1"/>
    <col min="9741" max="9741" width="8.42578125" style="92" customWidth="1"/>
    <col min="9742" max="9743" width="8.28515625" style="92" customWidth="1"/>
    <col min="9744" max="9744" width="11.42578125" style="92" customWidth="1"/>
    <col min="9745" max="9745" width="10.42578125" style="92" customWidth="1"/>
    <col min="9746" max="9746" width="9.7109375" style="92" customWidth="1"/>
    <col min="9747" max="9747" width="9.140625" style="92" customWidth="1"/>
    <col min="9748" max="9748" width="9.42578125" style="92" customWidth="1"/>
    <col min="9749" max="9749" width="7.42578125" style="92" customWidth="1"/>
    <col min="9750" max="9750" width="8.42578125" style="92" customWidth="1"/>
    <col min="9751" max="9751" width="8.28515625" style="92" customWidth="1"/>
    <col min="9752" max="9752" width="11.42578125" style="92" customWidth="1"/>
    <col min="9753" max="9765" width="8" style="92" customWidth="1"/>
    <col min="9766" max="9766" width="9.42578125" style="92" customWidth="1"/>
    <col min="9767" max="9767" width="6.7109375" style="92" customWidth="1"/>
    <col min="9768" max="9770" width="8.28515625" style="92" customWidth="1"/>
    <col min="9771" max="9771" width="8.7109375" style="92" customWidth="1"/>
    <col min="9772" max="9772" width="6.7109375" style="92" customWidth="1"/>
    <col min="9773" max="9975" width="8.7109375" style="92"/>
    <col min="9976" max="9976" width="5.140625" style="92" customWidth="1"/>
    <col min="9977" max="9977" width="24" style="92" customWidth="1"/>
    <col min="9978" max="9978" width="7.7109375" style="92" customWidth="1"/>
    <col min="9979" max="9979" width="8.7109375" style="92" customWidth="1"/>
    <col min="9980" max="9980" width="8.42578125" style="92" customWidth="1"/>
    <col min="9981" max="9981" width="9.42578125" style="92" customWidth="1"/>
    <col min="9982" max="9982" width="10.140625" style="92" customWidth="1"/>
    <col min="9983" max="9983" width="7.7109375" style="92" customWidth="1"/>
    <col min="9984" max="9985" width="9.42578125" style="92" customWidth="1"/>
    <col min="9986" max="9987" width="9.7109375" style="92" customWidth="1"/>
    <col min="9988" max="9988" width="8.7109375" style="92" customWidth="1"/>
    <col min="9989" max="9989" width="9.42578125" style="92" customWidth="1"/>
    <col min="9990" max="9990" width="6.7109375" style="92" customWidth="1"/>
    <col min="9991" max="9991" width="8.140625" style="92" customWidth="1"/>
    <col min="9992" max="9992" width="10.42578125" style="92" customWidth="1"/>
    <col min="9993" max="9993" width="8.42578125" style="92" customWidth="1"/>
    <col min="9994" max="9994" width="9.7109375" style="92" customWidth="1"/>
    <col min="9995" max="9995" width="9.42578125" style="92" customWidth="1"/>
    <col min="9996" max="9996" width="7.42578125" style="92" customWidth="1"/>
    <col min="9997" max="9997" width="8.42578125" style="92" customWidth="1"/>
    <col min="9998" max="9999" width="8.28515625" style="92" customWidth="1"/>
    <col min="10000" max="10000" width="11.42578125" style="92" customWidth="1"/>
    <col min="10001" max="10001" width="10.42578125" style="92" customWidth="1"/>
    <col min="10002" max="10002" width="9.7109375" style="92" customWidth="1"/>
    <col min="10003" max="10003" width="9.140625" style="92" customWidth="1"/>
    <col min="10004" max="10004" width="9.42578125" style="92" customWidth="1"/>
    <col min="10005" max="10005" width="7.42578125" style="92" customWidth="1"/>
    <col min="10006" max="10006" width="8.42578125" style="92" customWidth="1"/>
    <col min="10007" max="10007" width="8.28515625" style="92" customWidth="1"/>
    <col min="10008" max="10008" width="11.42578125" style="92" customWidth="1"/>
    <col min="10009" max="10021" width="8" style="92" customWidth="1"/>
    <col min="10022" max="10022" width="9.42578125" style="92" customWidth="1"/>
    <col min="10023" max="10023" width="6.7109375" style="92" customWidth="1"/>
    <col min="10024" max="10026" width="8.28515625" style="92" customWidth="1"/>
    <col min="10027" max="10027" width="8.7109375" style="92" customWidth="1"/>
    <col min="10028" max="10028" width="6.7109375" style="92" customWidth="1"/>
    <col min="10029" max="10231" width="8.7109375" style="92"/>
    <col min="10232" max="10232" width="5.140625" style="92" customWidth="1"/>
    <col min="10233" max="10233" width="24" style="92" customWidth="1"/>
    <col min="10234" max="10234" width="7.7109375" style="92" customWidth="1"/>
    <col min="10235" max="10235" width="8.7109375" style="92" customWidth="1"/>
    <col min="10236" max="10236" width="8.42578125" style="92" customWidth="1"/>
    <col min="10237" max="10237" width="9.42578125" style="92" customWidth="1"/>
    <col min="10238" max="10238" width="10.140625" style="92" customWidth="1"/>
    <col min="10239" max="10239" width="7.7109375" style="92" customWidth="1"/>
    <col min="10240" max="10241" width="9.42578125" style="92" customWidth="1"/>
    <col min="10242" max="10243" width="9.7109375" style="92" customWidth="1"/>
    <col min="10244" max="10244" width="8.7109375" style="92" customWidth="1"/>
    <col min="10245" max="10245" width="9.42578125" style="92" customWidth="1"/>
    <col min="10246" max="10246" width="6.7109375" style="92" customWidth="1"/>
    <col min="10247" max="10247" width="8.140625" style="92" customWidth="1"/>
    <col min="10248" max="10248" width="10.42578125" style="92" customWidth="1"/>
    <col min="10249" max="10249" width="8.42578125" style="92" customWidth="1"/>
    <col min="10250" max="10250" width="9.7109375" style="92" customWidth="1"/>
    <col min="10251" max="10251" width="9.42578125" style="92" customWidth="1"/>
    <col min="10252" max="10252" width="7.42578125" style="92" customWidth="1"/>
    <col min="10253" max="10253" width="8.42578125" style="92" customWidth="1"/>
    <col min="10254" max="10255" width="8.28515625" style="92" customWidth="1"/>
    <col min="10256" max="10256" width="11.42578125" style="92" customWidth="1"/>
    <col min="10257" max="10257" width="10.42578125" style="92" customWidth="1"/>
    <col min="10258" max="10258" width="9.7109375" style="92" customWidth="1"/>
    <col min="10259" max="10259" width="9.140625" style="92" customWidth="1"/>
    <col min="10260" max="10260" width="9.42578125" style="92" customWidth="1"/>
    <col min="10261" max="10261" width="7.42578125" style="92" customWidth="1"/>
    <col min="10262" max="10262" width="8.42578125" style="92" customWidth="1"/>
    <col min="10263" max="10263" width="8.28515625" style="92" customWidth="1"/>
    <col min="10264" max="10264" width="11.42578125" style="92" customWidth="1"/>
    <col min="10265" max="10277" width="8" style="92" customWidth="1"/>
    <col min="10278" max="10278" width="9.42578125" style="92" customWidth="1"/>
    <col min="10279" max="10279" width="6.7109375" style="92" customWidth="1"/>
    <col min="10280" max="10282" width="8.28515625" style="92" customWidth="1"/>
    <col min="10283" max="10283" width="8.7109375" style="92" customWidth="1"/>
    <col min="10284" max="10284" width="6.7109375" style="92" customWidth="1"/>
    <col min="10285" max="10487" width="8.7109375" style="92"/>
    <col min="10488" max="10488" width="5.140625" style="92" customWidth="1"/>
    <col min="10489" max="10489" width="24" style="92" customWidth="1"/>
    <col min="10490" max="10490" width="7.7109375" style="92" customWidth="1"/>
    <col min="10491" max="10491" width="8.7109375" style="92" customWidth="1"/>
    <col min="10492" max="10492" width="8.42578125" style="92" customWidth="1"/>
    <col min="10493" max="10493" width="9.42578125" style="92" customWidth="1"/>
    <col min="10494" max="10494" width="10.140625" style="92" customWidth="1"/>
    <col min="10495" max="10495" width="7.7109375" style="92" customWidth="1"/>
    <col min="10496" max="10497" width="9.42578125" style="92" customWidth="1"/>
    <col min="10498" max="10499" width="9.7109375" style="92" customWidth="1"/>
    <col min="10500" max="10500" width="8.7109375" style="92" customWidth="1"/>
    <col min="10501" max="10501" width="9.42578125" style="92" customWidth="1"/>
    <col min="10502" max="10502" width="6.7109375" style="92" customWidth="1"/>
    <col min="10503" max="10503" width="8.140625" style="92" customWidth="1"/>
    <col min="10504" max="10504" width="10.42578125" style="92" customWidth="1"/>
    <col min="10505" max="10505" width="8.42578125" style="92" customWidth="1"/>
    <col min="10506" max="10506" width="9.7109375" style="92" customWidth="1"/>
    <col min="10507" max="10507" width="9.42578125" style="92" customWidth="1"/>
    <col min="10508" max="10508" width="7.42578125" style="92" customWidth="1"/>
    <col min="10509" max="10509" width="8.42578125" style="92" customWidth="1"/>
    <col min="10510" max="10511" width="8.28515625" style="92" customWidth="1"/>
    <col min="10512" max="10512" width="11.42578125" style="92" customWidth="1"/>
    <col min="10513" max="10513" width="10.42578125" style="92" customWidth="1"/>
    <col min="10514" max="10514" width="9.7109375" style="92" customWidth="1"/>
    <col min="10515" max="10515" width="9.140625" style="92" customWidth="1"/>
    <col min="10516" max="10516" width="9.42578125" style="92" customWidth="1"/>
    <col min="10517" max="10517" width="7.42578125" style="92" customWidth="1"/>
    <col min="10518" max="10518" width="8.42578125" style="92" customWidth="1"/>
    <col min="10519" max="10519" width="8.28515625" style="92" customWidth="1"/>
    <col min="10520" max="10520" width="11.42578125" style="92" customWidth="1"/>
    <col min="10521" max="10533" width="8" style="92" customWidth="1"/>
    <col min="10534" max="10534" width="9.42578125" style="92" customWidth="1"/>
    <col min="10535" max="10535" width="6.7109375" style="92" customWidth="1"/>
    <col min="10536" max="10538" width="8.28515625" style="92" customWidth="1"/>
    <col min="10539" max="10539" width="8.7109375" style="92" customWidth="1"/>
    <col min="10540" max="10540" width="6.7109375" style="92" customWidth="1"/>
    <col min="10541" max="10743" width="8.7109375" style="92"/>
    <col min="10744" max="10744" width="5.140625" style="92" customWidth="1"/>
    <col min="10745" max="10745" width="24" style="92" customWidth="1"/>
    <col min="10746" max="10746" width="7.7109375" style="92" customWidth="1"/>
    <col min="10747" max="10747" width="8.7109375" style="92" customWidth="1"/>
    <col min="10748" max="10748" width="8.42578125" style="92" customWidth="1"/>
    <col min="10749" max="10749" width="9.42578125" style="92" customWidth="1"/>
    <col min="10750" max="10750" width="10.140625" style="92" customWidth="1"/>
    <col min="10751" max="10751" width="7.7109375" style="92" customWidth="1"/>
    <col min="10752" max="10753" width="9.42578125" style="92" customWidth="1"/>
    <col min="10754" max="10755" width="9.7109375" style="92" customWidth="1"/>
    <col min="10756" max="10756" width="8.7109375" style="92" customWidth="1"/>
    <col min="10757" max="10757" width="9.42578125" style="92" customWidth="1"/>
    <col min="10758" max="10758" width="6.7109375" style="92" customWidth="1"/>
    <col min="10759" max="10759" width="8.140625" style="92" customWidth="1"/>
    <col min="10760" max="10760" width="10.42578125" style="92" customWidth="1"/>
    <col min="10761" max="10761" width="8.42578125" style="92" customWidth="1"/>
    <col min="10762" max="10762" width="9.7109375" style="92" customWidth="1"/>
    <col min="10763" max="10763" width="9.42578125" style="92" customWidth="1"/>
    <col min="10764" max="10764" width="7.42578125" style="92" customWidth="1"/>
    <col min="10765" max="10765" width="8.42578125" style="92" customWidth="1"/>
    <col min="10766" max="10767" width="8.28515625" style="92" customWidth="1"/>
    <col min="10768" max="10768" width="11.42578125" style="92" customWidth="1"/>
    <col min="10769" max="10769" width="10.42578125" style="92" customWidth="1"/>
    <col min="10770" max="10770" width="9.7109375" style="92" customWidth="1"/>
    <col min="10771" max="10771" width="9.140625" style="92" customWidth="1"/>
    <col min="10772" max="10772" width="9.42578125" style="92" customWidth="1"/>
    <col min="10773" max="10773" width="7.42578125" style="92" customWidth="1"/>
    <col min="10774" max="10774" width="8.42578125" style="92" customWidth="1"/>
    <col min="10775" max="10775" width="8.28515625" style="92" customWidth="1"/>
    <col min="10776" max="10776" width="11.42578125" style="92" customWidth="1"/>
    <col min="10777" max="10789" width="8" style="92" customWidth="1"/>
    <col min="10790" max="10790" width="9.42578125" style="92" customWidth="1"/>
    <col min="10791" max="10791" width="6.7109375" style="92" customWidth="1"/>
    <col min="10792" max="10794" width="8.28515625" style="92" customWidth="1"/>
    <col min="10795" max="10795" width="8.7109375" style="92" customWidth="1"/>
    <col min="10796" max="10796" width="6.7109375" style="92" customWidth="1"/>
    <col min="10797" max="10999" width="8.7109375" style="92"/>
    <col min="11000" max="11000" width="5.140625" style="92" customWidth="1"/>
    <col min="11001" max="11001" width="24" style="92" customWidth="1"/>
    <col min="11002" max="11002" width="7.7109375" style="92" customWidth="1"/>
    <col min="11003" max="11003" width="8.7109375" style="92" customWidth="1"/>
    <col min="11004" max="11004" width="8.42578125" style="92" customWidth="1"/>
    <col min="11005" max="11005" width="9.42578125" style="92" customWidth="1"/>
    <col min="11006" max="11006" width="10.140625" style="92" customWidth="1"/>
    <col min="11007" max="11007" width="7.7109375" style="92" customWidth="1"/>
    <col min="11008" max="11009" width="9.42578125" style="92" customWidth="1"/>
    <col min="11010" max="11011" width="9.7109375" style="92" customWidth="1"/>
    <col min="11012" max="11012" width="8.7109375" style="92" customWidth="1"/>
    <col min="11013" max="11013" width="9.42578125" style="92" customWidth="1"/>
    <col min="11014" max="11014" width="6.7109375" style="92" customWidth="1"/>
    <col min="11015" max="11015" width="8.140625" style="92" customWidth="1"/>
    <col min="11016" max="11016" width="10.42578125" style="92" customWidth="1"/>
    <col min="11017" max="11017" width="8.42578125" style="92" customWidth="1"/>
    <col min="11018" max="11018" width="9.7109375" style="92" customWidth="1"/>
    <col min="11019" max="11019" width="9.42578125" style="92" customWidth="1"/>
    <col min="11020" max="11020" width="7.42578125" style="92" customWidth="1"/>
    <col min="11021" max="11021" width="8.42578125" style="92" customWidth="1"/>
    <col min="11022" max="11023" width="8.28515625" style="92" customWidth="1"/>
    <col min="11024" max="11024" width="11.42578125" style="92" customWidth="1"/>
    <col min="11025" max="11025" width="10.42578125" style="92" customWidth="1"/>
    <col min="11026" max="11026" width="9.7109375" style="92" customWidth="1"/>
    <col min="11027" max="11027" width="9.140625" style="92" customWidth="1"/>
    <col min="11028" max="11028" width="9.42578125" style="92" customWidth="1"/>
    <col min="11029" max="11029" width="7.42578125" style="92" customWidth="1"/>
    <col min="11030" max="11030" width="8.42578125" style="92" customWidth="1"/>
    <col min="11031" max="11031" width="8.28515625" style="92" customWidth="1"/>
    <col min="11032" max="11032" width="11.42578125" style="92" customWidth="1"/>
    <col min="11033" max="11045" width="8" style="92" customWidth="1"/>
    <col min="11046" max="11046" width="9.42578125" style="92" customWidth="1"/>
    <col min="11047" max="11047" width="6.7109375" style="92" customWidth="1"/>
    <col min="11048" max="11050" width="8.28515625" style="92" customWidth="1"/>
    <col min="11051" max="11051" width="8.7109375" style="92" customWidth="1"/>
    <col min="11052" max="11052" width="6.7109375" style="92" customWidth="1"/>
    <col min="11053" max="11255" width="8.7109375" style="92"/>
    <col min="11256" max="11256" width="5.140625" style="92" customWidth="1"/>
    <col min="11257" max="11257" width="24" style="92" customWidth="1"/>
    <col min="11258" max="11258" width="7.7109375" style="92" customWidth="1"/>
    <col min="11259" max="11259" width="8.7109375" style="92" customWidth="1"/>
    <col min="11260" max="11260" width="8.42578125" style="92" customWidth="1"/>
    <col min="11261" max="11261" width="9.42578125" style="92" customWidth="1"/>
    <col min="11262" max="11262" width="10.140625" style="92" customWidth="1"/>
    <col min="11263" max="11263" width="7.7109375" style="92" customWidth="1"/>
    <col min="11264" max="11265" width="9.42578125" style="92" customWidth="1"/>
    <col min="11266" max="11267" width="9.7109375" style="92" customWidth="1"/>
    <col min="11268" max="11268" width="8.7109375" style="92" customWidth="1"/>
    <col min="11269" max="11269" width="9.42578125" style="92" customWidth="1"/>
    <col min="11270" max="11270" width="6.7109375" style="92" customWidth="1"/>
    <col min="11271" max="11271" width="8.140625" style="92" customWidth="1"/>
    <col min="11272" max="11272" width="10.42578125" style="92" customWidth="1"/>
    <col min="11273" max="11273" width="8.42578125" style="92" customWidth="1"/>
    <col min="11274" max="11274" width="9.7109375" style="92" customWidth="1"/>
    <col min="11275" max="11275" width="9.42578125" style="92" customWidth="1"/>
    <col min="11276" max="11276" width="7.42578125" style="92" customWidth="1"/>
    <col min="11277" max="11277" width="8.42578125" style="92" customWidth="1"/>
    <col min="11278" max="11279" width="8.28515625" style="92" customWidth="1"/>
    <col min="11280" max="11280" width="11.42578125" style="92" customWidth="1"/>
    <col min="11281" max="11281" width="10.42578125" style="92" customWidth="1"/>
    <col min="11282" max="11282" width="9.7109375" style="92" customWidth="1"/>
    <col min="11283" max="11283" width="9.140625" style="92" customWidth="1"/>
    <col min="11284" max="11284" width="9.42578125" style="92" customWidth="1"/>
    <col min="11285" max="11285" width="7.42578125" style="92" customWidth="1"/>
    <col min="11286" max="11286" width="8.42578125" style="92" customWidth="1"/>
    <col min="11287" max="11287" width="8.28515625" style="92" customWidth="1"/>
    <col min="11288" max="11288" width="11.42578125" style="92" customWidth="1"/>
    <col min="11289" max="11301" width="8" style="92" customWidth="1"/>
    <col min="11302" max="11302" width="9.42578125" style="92" customWidth="1"/>
    <col min="11303" max="11303" width="6.7109375" style="92" customWidth="1"/>
    <col min="11304" max="11306" width="8.28515625" style="92" customWidth="1"/>
    <col min="11307" max="11307" width="8.7109375" style="92" customWidth="1"/>
    <col min="11308" max="11308" width="6.7109375" style="92" customWidth="1"/>
    <col min="11309" max="11511" width="8.7109375" style="92"/>
    <col min="11512" max="11512" width="5.140625" style="92" customWidth="1"/>
    <col min="11513" max="11513" width="24" style="92" customWidth="1"/>
    <col min="11514" max="11514" width="7.7109375" style="92" customWidth="1"/>
    <col min="11515" max="11515" width="8.7109375" style="92" customWidth="1"/>
    <col min="11516" max="11516" width="8.42578125" style="92" customWidth="1"/>
    <col min="11517" max="11517" width="9.42578125" style="92" customWidth="1"/>
    <col min="11518" max="11518" width="10.140625" style="92" customWidth="1"/>
    <col min="11519" max="11519" width="7.7109375" style="92" customWidth="1"/>
    <col min="11520" max="11521" width="9.42578125" style="92" customWidth="1"/>
    <col min="11522" max="11523" width="9.7109375" style="92" customWidth="1"/>
    <col min="11524" max="11524" width="8.7109375" style="92" customWidth="1"/>
    <col min="11525" max="11525" width="9.42578125" style="92" customWidth="1"/>
    <col min="11526" max="11526" width="6.7109375" style="92" customWidth="1"/>
    <col min="11527" max="11527" width="8.140625" style="92" customWidth="1"/>
    <col min="11528" max="11528" width="10.42578125" style="92" customWidth="1"/>
    <col min="11529" max="11529" width="8.42578125" style="92" customWidth="1"/>
    <col min="11530" max="11530" width="9.7109375" style="92" customWidth="1"/>
    <col min="11531" max="11531" width="9.42578125" style="92" customWidth="1"/>
    <col min="11532" max="11532" width="7.42578125" style="92" customWidth="1"/>
    <col min="11533" max="11533" width="8.42578125" style="92" customWidth="1"/>
    <col min="11534" max="11535" width="8.28515625" style="92" customWidth="1"/>
    <col min="11536" max="11536" width="11.42578125" style="92" customWidth="1"/>
    <col min="11537" max="11537" width="10.42578125" style="92" customWidth="1"/>
    <col min="11538" max="11538" width="9.7109375" style="92" customWidth="1"/>
    <col min="11539" max="11539" width="9.140625" style="92" customWidth="1"/>
    <col min="11540" max="11540" width="9.42578125" style="92" customWidth="1"/>
    <col min="11541" max="11541" width="7.42578125" style="92" customWidth="1"/>
    <col min="11542" max="11542" width="8.42578125" style="92" customWidth="1"/>
    <col min="11543" max="11543" width="8.28515625" style="92" customWidth="1"/>
    <col min="11544" max="11544" width="11.42578125" style="92" customWidth="1"/>
    <col min="11545" max="11557" width="8" style="92" customWidth="1"/>
    <col min="11558" max="11558" width="9.42578125" style="92" customWidth="1"/>
    <col min="11559" max="11559" width="6.7109375" style="92" customWidth="1"/>
    <col min="11560" max="11562" width="8.28515625" style="92" customWidth="1"/>
    <col min="11563" max="11563" width="8.7109375" style="92" customWidth="1"/>
    <col min="11564" max="11564" width="6.7109375" style="92" customWidth="1"/>
    <col min="11565" max="11767" width="8.7109375" style="92"/>
    <col min="11768" max="11768" width="5.140625" style="92" customWidth="1"/>
    <col min="11769" max="11769" width="24" style="92" customWidth="1"/>
    <col min="11770" max="11770" width="7.7109375" style="92" customWidth="1"/>
    <col min="11771" max="11771" width="8.7109375" style="92" customWidth="1"/>
    <col min="11772" max="11772" width="8.42578125" style="92" customWidth="1"/>
    <col min="11773" max="11773" width="9.42578125" style="92" customWidth="1"/>
    <col min="11774" max="11774" width="10.140625" style="92" customWidth="1"/>
    <col min="11775" max="11775" width="7.7109375" style="92" customWidth="1"/>
    <col min="11776" max="11777" width="9.42578125" style="92" customWidth="1"/>
    <col min="11778" max="11779" width="9.7109375" style="92" customWidth="1"/>
    <col min="11780" max="11780" width="8.7109375" style="92" customWidth="1"/>
    <col min="11781" max="11781" width="9.42578125" style="92" customWidth="1"/>
    <col min="11782" max="11782" width="6.7109375" style="92" customWidth="1"/>
    <col min="11783" max="11783" width="8.140625" style="92" customWidth="1"/>
    <col min="11784" max="11784" width="10.42578125" style="92" customWidth="1"/>
    <col min="11785" max="11785" width="8.42578125" style="92" customWidth="1"/>
    <col min="11786" max="11786" width="9.7109375" style="92" customWidth="1"/>
    <col min="11787" max="11787" width="9.42578125" style="92" customWidth="1"/>
    <col min="11788" max="11788" width="7.42578125" style="92" customWidth="1"/>
    <col min="11789" max="11789" width="8.42578125" style="92" customWidth="1"/>
    <col min="11790" max="11791" width="8.28515625" style="92" customWidth="1"/>
    <col min="11792" max="11792" width="11.42578125" style="92" customWidth="1"/>
    <col min="11793" max="11793" width="10.42578125" style="92" customWidth="1"/>
    <col min="11794" max="11794" width="9.7109375" style="92" customWidth="1"/>
    <col min="11795" max="11795" width="9.140625" style="92" customWidth="1"/>
    <col min="11796" max="11796" width="9.42578125" style="92" customWidth="1"/>
    <col min="11797" max="11797" width="7.42578125" style="92" customWidth="1"/>
    <col min="11798" max="11798" width="8.42578125" style="92" customWidth="1"/>
    <col min="11799" max="11799" width="8.28515625" style="92" customWidth="1"/>
    <col min="11800" max="11800" width="11.42578125" style="92" customWidth="1"/>
    <col min="11801" max="11813" width="8" style="92" customWidth="1"/>
    <col min="11814" max="11814" width="9.42578125" style="92" customWidth="1"/>
    <col min="11815" max="11815" width="6.7109375" style="92" customWidth="1"/>
    <col min="11816" max="11818" width="8.28515625" style="92" customWidth="1"/>
    <col min="11819" max="11819" width="8.7109375" style="92" customWidth="1"/>
    <col min="11820" max="11820" width="6.7109375" style="92" customWidth="1"/>
    <col min="11821" max="12023" width="8.7109375" style="92"/>
    <col min="12024" max="12024" width="5.140625" style="92" customWidth="1"/>
    <col min="12025" max="12025" width="24" style="92" customWidth="1"/>
    <col min="12026" max="12026" width="7.7109375" style="92" customWidth="1"/>
    <col min="12027" max="12027" width="8.7109375" style="92" customWidth="1"/>
    <col min="12028" max="12028" width="8.42578125" style="92" customWidth="1"/>
    <col min="12029" max="12029" width="9.42578125" style="92" customWidth="1"/>
    <col min="12030" max="12030" width="10.140625" style="92" customWidth="1"/>
    <col min="12031" max="12031" width="7.7109375" style="92" customWidth="1"/>
    <col min="12032" max="12033" width="9.42578125" style="92" customWidth="1"/>
    <col min="12034" max="12035" width="9.7109375" style="92" customWidth="1"/>
    <col min="12036" max="12036" width="8.7109375" style="92" customWidth="1"/>
    <col min="12037" max="12037" width="9.42578125" style="92" customWidth="1"/>
    <col min="12038" max="12038" width="6.7109375" style="92" customWidth="1"/>
    <col min="12039" max="12039" width="8.140625" style="92" customWidth="1"/>
    <col min="12040" max="12040" width="10.42578125" style="92" customWidth="1"/>
    <col min="12041" max="12041" width="8.42578125" style="92" customWidth="1"/>
    <col min="12042" max="12042" width="9.7109375" style="92" customWidth="1"/>
    <col min="12043" max="12043" width="9.42578125" style="92" customWidth="1"/>
    <col min="12044" max="12044" width="7.42578125" style="92" customWidth="1"/>
    <col min="12045" max="12045" width="8.42578125" style="92" customWidth="1"/>
    <col min="12046" max="12047" width="8.28515625" style="92" customWidth="1"/>
    <col min="12048" max="12048" width="11.42578125" style="92" customWidth="1"/>
    <col min="12049" max="12049" width="10.42578125" style="92" customWidth="1"/>
    <col min="12050" max="12050" width="9.7109375" style="92" customWidth="1"/>
    <col min="12051" max="12051" width="9.140625" style="92" customWidth="1"/>
    <col min="12052" max="12052" width="9.42578125" style="92" customWidth="1"/>
    <col min="12053" max="12053" width="7.42578125" style="92" customWidth="1"/>
    <col min="12054" max="12054" width="8.42578125" style="92" customWidth="1"/>
    <col min="12055" max="12055" width="8.28515625" style="92" customWidth="1"/>
    <col min="12056" max="12056" width="11.42578125" style="92" customWidth="1"/>
    <col min="12057" max="12069" width="8" style="92" customWidth="1"/>
    <col min="12070" max="12070" width="9.42578125" style="92" customWidth="1"/>
    <col min="12071" max="12071" width="6.7109375" style="92" customWidth="1"/>
    <col min="12072" max="12074" width="8.28515625" style="92" customWidth="1"/>
    <col min="12075" max="12075" width="8.7109375" style="92" customWidth="1"/>
    <col min="12076" max="12076" width="6.7109375" style="92" customWidth="1"/>
    <col min="12077" max="12279" width="8.7109375" style="92"/>
    <col min="12280" max="12280" width="5.140625" style="92" customWidth="1"/>
    <col min="12281" max="12281" width="24" style="92" customWidth="1"/>
    <col min="12282" max="12282" width="7.7109375" style="92" customWidth="1"/>
    <col min="12283" max="12283" width="8.7109375" style="92" customWidth="1"/>
    <col min="12284" max="12284" width="8.42578125" style="92" customWidth="1"/>
    <col min="12285" max="12285" width="9.42578125" style="92" customWidth="1"/>
    <col min="12286" max="12286" width="10.140625" style="92" customWidth="1"/>
    <col min="12287" max="12287" width="7.7109375" style="92" customWidth="1"/>
    <col min="12288" max="12289" width="9.42578125" style="92" customWidth="1"/>
    <col min="12290" max="12291" width="9.7109375" style="92" customWidth="1"/>
    <col min="12292" max="12292" width="8.7109375" style="92" customWidth="1"/>
    <col min="12293" max="12293" width="9.42578125" style="92" customWidth="1"/>
    <col min="12294" max="12294" width="6.7109375" style="92" customWidth="1"/>
    <col min="12295" max="12295" width="8.140625" style="92" customWidth="1"/>
    <col min="12296" max="12296" width="10.42578125" style="92" customWidth="1"/>
    <col min="12297" max="12297" width="8.42578125" style="92" customWidth="1"/>
    <col min="12298" max="12298" width="9.7109375" style="92" customWidth="1"/>
    <col min="12299" max="12299" width="9.42578125" style="92" customWidth="1"/>
    <col min="12300" max="12300" width="7.42578125" style="92" customWidth="1"/>
    <col min="12301" max="12301" width="8.42578125" style="92" customWidth="1"/>
    <col min="12302" max="12303" width="8.28515625" style="92" customWidth="1"/>
    <col min="12304" max="12304" width="11.42578125" style="92" customWidth="1"/>
    <col min="12305" max="12305" width="10.42578125" style="92" customWidth="1"/>
    <col min="12306" max="12306" width="9.7109375" style="92" customWidth="1"/>
    <col min="12307" max="12307" width="9.140625" style="92" customWidth="1"/>
    <col min="12308" max="12308" width="9.42578125" style="92" customWidth="1"/>
    <col min="12309" max="12309" width="7.42578125" style="92" customWidth="1"/>
    <col min="12310" max="12310" width="8.42578125" style="92" customWidth="1"/>
    <col min="12311" max="12311" width="8.28515625" style="92" customWidth="1"/>
    <col min="12312" max="12312" width="11.42578125" style="92" customWidth="1"/>
    <col min="12313" max="12325" width="8" style="92" customWidth="1"/>
    <col min="12326" max="12326" width="9.42578125" style="92" customWidth="1"/>
    <col min="12327" max="12327" width="6.7109375" style="92" customWidth="1"/>
    <col min="12328" max="12330" width="8.28515625" style="92" customWidth="1"/>
    <col min="12331" max="12331" width="8.7109375" style="92" customWidth="1"/>
    <col min="12332" max="12332" width="6.7109375" style="92" customWidth="1"/>
    <col min="12333" max="12535" width="8.7109375" style="92"/>
    <col min="12536" max="12536" width="5.140625" style="92" customWidth="1"/>
    <col min="12537" max="12537" width="24" style="92" customWidth="1"/>
    <col min="12538" max="12538" width="7.7109375" style="92" customWidth="1"/>
    <col min="12539" max="12539" width="8.7109375" style="92" customWidth="1"/>
    <col min="12540" max="12540" width="8.42578125" style="92" customWidth="1"/>
    <col min="12541" max="12541" width="9.42578125" style="92" customWidth="1"/>
    <col min="12542" max="12542" width="10.140625" style="92" customWidth="1"/>
    <col min="12543" max="12543" width="7.7109375" style="92" customWidth="1"/>
    <col min="12544" max="12545" width="9.42578125" style="92" customWidth="1"/>
    <col min="12546" max="12547" width="9.7109375" style="92" customWidth="1"/>
    <col min="12548" max="12548" width="8.7109375" style="92" customWidth="1"/>
    <col min="12549" max="12549" width="9.42578125" style="92" customWidth="1"/>
    <col min="12550" max="12550" width="6.7109375" style="92" customWidth="1"/>
    <col min="12551" max="12551" width="8.140625" style="92" customWidth="1"/>
    <col min="12552" max="12552" width="10.42578125" style="92" customWidth="1"/>
    <col min="12553" max="12553" width="8.42578125" style="92" customWidth="1"/>
    <col min="12554" max="12554" width="9.7109375" style="92" customWidth="1"/>
    <col min="12555" max="12555" width="9.42578125" style="92" customWidth="1"/>
    <col min="12556" max="12556" width="7.42578125" style="92" customWidth="1"/>
    <col min="12557" max="12557" width="8.42578125" style="92" customWidth="1"/>
    <col min="12558" max="12559" width="8.28515625" style="92" customWidth="1"/>
    <col min="12560" max="12560" width="11.42578125" style="92" customWidth="1"/>
    <col min="12561" max="12561" width="10.42578125" style="92" customWidth="1"/>
    <col min="12562" max="12562" width="9.7109375" style="92" customWidth="1"/>
    <col min="12563" max="12563" width="9.140625" style="92" customWidth="1"/>
    <col min="12564" max="12564" width="9.42578125" style="92" customWidth="1"/>
    <col min="12565" max="12565" width="7.42578125" style="92" customWidth="1"/>
    <col min="12566" max="12566" width="8.42578125" style="92" customWidth="1"/>
    <col min="12567" max="12567" width="8.28515625" style="92" customWidth="1"/>
    <col min="12568" max="12568" width="11.42578125" style="92" customWidth="1"/>
    <col min="12569" max="12581" width="8" style="92" customWidth="1"/>
    <col min="12582" max="12582" width="9.42578125" style="92" customWidth="1"/>
    <col min="12583" max="12583" width="6.7109375" style="92" customWidth="1"/>
    <col min="12584" max="12586" width="8.28515625" style="92" customWidth="1"/>
    <col min="12587" max="12587" width="8.7109375" style="92" customWidth="1"/>
    <col min="12588" max="12588" width="6.7109375" style="92" customWidth="1"/>
    <col min="12589" max="12791" width="8.7109375" style="92"/>
    <col min="12792" max="12792" width="5.140625" style="92" customWidth="1"/>
    <col min="12793" max="12793" width="24" style="92" customWidth="1"/>
    <col min="12794" max="12794" width="7.7109375" style="92" customWidth="1"/>
    <col min="12795" max="12795" width="8.7109375" style="92" customWidth="1"/>
    <col min="12796" max="12796" width="8.42578125" style="92" customWidth="1"/>
    <col min="12797" max="12797" width="9.42578125" style="92" customWidth="1"/>
    <col min="12798" max="12798" width="10.140625" style="92" customWidth="1"/>
    <col min="12799" max="12799" width="7.7109375" style="92" customWidth="1"/>
    <col min="12800" max="12801" width="9.42578125" style="92" customWidth="1"/>
    <col min="12802" max="12803" width="9.7109375" style="92" customWidth="1"/>
    <col min="12804" max="12804" width="8.7109375" style="92" customWidth="1"/>
    <col min="12805" max="12805" width="9.42578125" style="92" customWidth="1"/>
    <col min="12806" max="12806" width="6.7109375" style="92" customWidth="1"/>
    <col min="12807" max="12807" width="8.140625" style="92" customWidth="1"/>
    <col min="12808" max="12808" width="10.42578125" style="92" customWidth="1"/>
    <col min="12809" max="12809" width="8.42578125" style="92" customWidth="1"/>
    <col min="12810" max="12810" width="9.7109375" style="92" customWidth="1"/>
    <col min="12811" max="12811" width="9.42578125" style="92" customWidth="1"/>
    <col min="12812" max="12812" width="7.42578125" style="92" customWidth="1"/>
    <col min="12813" max="12813" width="8.42578125" style="92" customWidth="1"/>
    <col min="12814" max="12815" width="8.28515625" style="92" customWidth="1"/>
    <col min="12816" max="12816" width="11.42578125" style="92" customWidth="1"/>
    <col min="12817" max="12817" width="10.42578125" style="92" customWidth="1"/>
    <col min="12818" max="12818" width="9.7109375" style="92" customWidth="1"/>
    <col min="12819" max="12819" width="9.140625" style="92" customWidth="1"/>
    <col min="12820" max="12820" width="9.42578125" style="92" customWidth="1"/>
    <col min="12821" max="12821" width="7.42578125" style="92" customWidth="1"/>
    <col min="12822" max="12822" width="8.42578125" style="92" customWidth="1"/>
    <col min="12823" max="12823" width="8.28515625" style="92" customWidth="1"/>
    <col min="12824" max="12824" width="11.42578125" style="92" customWidth="1"/>
    <col min="12825" max="12837" width="8" style="92" customWidth="1"/>
    <col min="12838" max="12838" width="9.42578125" style="92" customWidth="1"/>
    <col min="12839" max="12839" width="6.7109375" style="92" customWidth="1"/>
    <col min="12840" max="12842" width="8.28515625" style="92" customWidth="1"/>
    <col min="12843" max="12843" width="8.7109375" style="92" customWidth="1"/>
    <col min="12844" max="12844" width="6.7109375" style="92" customWidth="1"/>
    <col min="12845" max="13047" width="8.7109375" style="92"/>
    <col min="13048" max="13048" width="5.140625" style="92" customWidth="1"/>
    <col min="13049" max="13049" width="24" style="92" customWidth="1"/>
    <col min="13050" max="13050" width="7.7109375" style="92" customWidth="1"/>
    <col min="13051" max="13051" width="8.7109375" style="92" customWidth="1"/>
    <col min="13052" max="13052" width="8.42578125" style="92" customWidth="1"/>
    <col min="13053" max="13053" width="9.42578125" style="92" customWidth="1"/>
    <col min="13054" max="13054" width="10.140625" style="92" customWidth="1"/>
    <col min="13055" max="13055" width="7.7109375" style="92" customWidth="1"/>
    <col min="13056" max="13057" width="9.42578125" style="92" customWidth="1"/>
    <col min="13058" max="13059" width="9.7109375" style="92" customWidth="1"/>
    <col min="13060" max="13060" width="8.7109375" style="92" customWidth="1"/>
    <col min="13061" max="13061" width="9.42578125" style="92" customWidth="1"/>
    <col min="13062" max="13062" width="6.7109375" style="92" customWidth="1"/>
    <col min="13063" max="13063" width="8.140625" style="92" customWidth="1"/>
    <col min="13064" max="13064" width="10.42578125" style="92" customWidth="1"/>
    <col min="13065" max="13065" width="8.42578125" style="92" customWidth="1"/>
    <col min="13066" max="13066" width="9.7109375" style="92" customWidth="1"/>
    <col min="13067" max="13067" width="9.42578125" style="92" customWidth="1"/>
    <col min="13068" max="13068" width="7.42578125" style="92" customWidth="1"/>
    <col min="13069" max="13069" width="8.42578125" style="92" customWidth="1"/>
    <col min="13070" max="13071" width="8.28515625" style="92" customWidth="1"/>
    <col min="13072" max="13072" width="11.42578125" style="92" customWidth="1"/>
    <col min="13073" max="13073" width="10.42578125" style="92" customWidth="1"/>
    <col min="13074" max="13074" width="9.7109375" style="92" customWidth="1"/>
    <col min="13075" max="13075" width="9.140625" style="92" customWidth="1"/>
    <col min="13076" max="13076" width="9.42578125" style="92" customWidth="1"/>
    <col min="13077" max="13077" width="7.42578125" style="92" customWidth="1"/>
    <col min="13078" max="13078" width="8.42578125" style="92" customWidth="1"/>
    <col min="13079" max="13079" width="8.28515625" style="92" customWidth="1"/>
    <col min="13080" max="13080" width="11.42578125" style="92" customWidth="1"/>
    <col min="13081" max="13093" width="8" style="92" customWidth="1"/>
    <col min="13094" max="13094" width="9.42578125" style="92" customWidth="1"/>
    <col min="13095" max="13095" width="6.7109375" style="92" customWidth="1"/>
    <col min="13096" max="13098" width="8.28515625" style="92" customWidth="1"/>
    <col min="13099" max="13099" width="8.7109375" style="92" customWidth="1"/>
    <col min="13100" max="13100" width="6.7109375" style="92" customWidth="1"/>
    <col min="13101" max="13303" width="8.7109375" style="92"/>
    <col min="13304" max="13304" width="5.140625" style="92" customWidth="1"/>
    <col min="13305" max="13305" width="24" style="92" customWidth="1"/>
    <col min="13306" max="13306" width="7.7109375" style="92" customWidth="1"/>
    <col min="13307" max="13307" width="8.7109375" style="92" customWidth="1"/>
    <col min="13308" max="13308" width="8.42578125" style="92" customWidth="1"/>
    <col min="13309" max="13309" width="9.42578125" style="92" customWidth="1"/>
    <col min="13310" max="13310" width="10.140625" style="92" customWidth="1"/>
    <col min="13311" max="13311" width="7.7109375" style="92" customWidth="1"/>
    <col min="13312" max="13313" width="9.42578125" style="92" customWidth="1"/>
    <col min="13314" max="13315" width="9.7109375" style="92" customWidth="1"/>
    <col min="13316" max="13316" width="8.7109375" style="92" customWidth="1"/>
    <col min="13317" max="13317" width="9.42578125" style="92" customWidth="1"/>
    <col min="13318" max="13318" width="6.7109375" style="92" customWidth="1"/>
    <col min="13319" max="13319" width="8.140625" style="92" customWidth="1"/>
    <col min="13320" max="13320" width="10.42578125" style="92" customWidth="1"/>
    <col min="13321" max="13321" width="8.42578125" style="92" customWidth="1"/>
    <col min="13322" max="13322" width="9.7109375" style="92" customWidth="1"/>
    <col min="13323" max="13323" width="9.42578125" style="92" customWidth="1"/>
    <col min="13324" max="13324" width="7.42578125" style="92" customWidth="1"/>
    <col min="13325" max="13325" width="8.42578125" style="92" customWidth="1"/>
    <col min="13326" max="13327" width="8.28515625" style="92" customWidth="1"/>
    <col min="13328" max="13328" width="11.42578125" style="92" customWidth="1"/>
    <col min="13329" max="13329" width="10.42578125" style="92" customWidth="1"/>
    <col min="13330" max="13330" width="9.7109375" style="92" customWidth="1"/>
    <col min="13331" max="13331" width="9.140625" style="92" customWidth="1"/>
    <col min="13332" max="13332" width="9.42578125" style="92" customWidth="1"/>
    <col min="13333" max="13333" width="7.42578125" style="92" customWidth="1"/>
    <col min="13334" max="13334" width="8.42578125" style="92" customWidth="1"/>
    <col min="13335" max="13335" width="8.28515625" style="92" customWidth="1"/>
    <col min="13336" max="13336" width="11.42578125" style="92" customWidth="1"/>
    <col min="13337" max="13349" width="8" style="92" customWidth="1"/>
    <col min="13350" max="13350" width="9.42578125" style="92" customWidth="1"/>
    <col min="13351" max="13351" width="6.7109375" style="92" customWidth="1"/>
    <col min="13352" max="13354" width="8.28515625" style="92" customWidth="1"/>
    <col min="13355" max="13355" width="8.7109375" style="92" customWidth="1"/>
    <col min="13356" max="13356" width="6.7109375" style="92" customWidth="1"/>
    <col min="13357" max="13559" width="8.7109375" style="92"/>
    <col min="13560" max="13560" width="5.140625" style="92" customWidth="1"/>
    <col min="13561" max="13561" width="24" style="92" customWidth="1"/>
    <col min="13562" max="13562" width="7.7109375" style="92" customWidth="1"/>
    <col min="13563" max="13563" width="8.7109375" style="92" customWidth="1"/>
    <col min="13564" max="13564" width="8.42578125" style="92" customWidth="1"/>
    <col min="13565" max="13565" width="9.42578125" style="92" customWidth="1"/>
    <col min="13566" max="13566" width="10.140625" style="92" customWidth="1"/>
    <col min="13567" max="13567" width="7.7109375" style="92" customWidth="1"/>
    <col min="13568" max="13569" width="9.42578125" style="92" customWidth="1"/>
    <col min="13570" max="13571" width="9.7109375" style="92" customWidth="1"/>
    <col min="13572" max="13572" width="8.7109375" style="92" customWidth="1"/>
    <col min="13573" max="13573" width="9.42578125" style="92" customWidth="1"/>
    <col min="13574" max="13574" width="6.7109375" style="92" customWidth="1"/>
    <col min="13575" max="13575" width="8.140625" style="92" customWidth="1"/>
    <col min="13576" max="13576" width="10.42578125" style="92" customWidth="1"/>
    <col min="13577" max="13577" width="8.42578125" style="92" customWidth="1"/>
    <col min="13578" max="13578" width="9.7109375" style="92" customWidth="1"/>
    <col min="13579" max="13579" width="9.42578125" style="92" customWidth="1"/>
    <col min="13580" max="13580" width="7.42578125" style="92" customWidth="1"/>
    <col min="13581" max="13581" width="8.42578125" style="92" customWidth="1"/>
    <col min="13582" max="13583" width="8.28515625" style="92" customWidth="1"/>
    <col min="13584" max="13584" width="11.42578125" style="92" customWidth="1"/>
    <col min="13585" max="13585" width="10.42578125" style="92" customWidth="1"/>
    <col min="13586" max="13586" width="9.7109375" style="92" customWidth="1"/>
    <col min="13587" max="13587" width="9.140625" style="92" customWidth="1"/>
    <col min="13588" max="13588" width="9.42578125" style="92" customWidth="1"/>
    <col min="13589" max="13589" width="7.42578125" style="92" customWidth="1"/>
    <col min="13590" max="13590" width="8.42578125" style="92" customWidth="1"/>
    <col min="13591" max="13591" width="8.28515625" style="92" customWidth="1"/>
    <col min="13592" max="13592" width="11.42578125" style="92" customWidth="1"/>
    <col min="13593" max="13605" width="8" style="92" customWidth="1"/>
    <col min="13606" max="13606" width="9.42578125" style="92" customWidth="1"/>
    <col min="13607" max="13607" width="6.7109375" style="92" customWidth="1"/>
    <col min="13608" max="13610" width="8.28515625" style="92" customWidth="1"/>
    <col min="13611" max="13611" width="8.7109375" style="92" customWidth="1"/>
    <col min="13612" max="13612" width="6.7109375" style="92" customWidth="1"/>
    <col min="13613" max="13815" width="8.7109375" style="92"/>
    <col min="13816" max="13816" width="5.140625" style="92" customWidth="1"/>
    <col min="13817" max="13817" width="24" style="92" customWidth="1"/>
    <col min="13818" max="13818" width="7.7109375" style="92" customWidth="1"/>
    <col min="13819" max="13819" width="8.7109375" style="92" customWidth="1"/>
    <col min="13820" max="13820" width="8.42578125" style="92" customWidth="1"/>
    <col min="13821" max="13821" width="9.42578125" style="92" customWidth="1"/>
    <col min="13822" max="13822" width="10.140625" style="92" customWidth="1"/>
    <col min="13823" max="13823" width="7.7109375" style="92" customWidth="1"/>
    <col min="13824" max="13825" width="9.42578125" style="92" customWidth="1"/>
    <col min="13826" max="13827" width="9.7109375" style="92" customWidth="1"/>
    <col min="13828" max="13828" width="8.7109375" style="92" customWidth="1"/>
    <col min="13829" max="13829" width="9.42578125" style="92" customWidth="1"/>
    <col min="13830" max="13830" width="6.7109375" style="92" customWidth="1"/>
    <col min="13831" max="13831" width="8.140625" style="92" customWidth="1"/>
    <col min="13832" max="13832" width="10.42578125" style="92" customWidth="1"/>
    <col min="13833" max="13833" width="8.42578125" style="92" customWidth="1"/>
    <col min="13834" max="13834" width="9.7109375" style="92" customWidth="1"/>
    <col min="13835" max="13835" width="9.42578125" style="92" customWidth="1"/>
    <col min="13836" max="13836" width="7.42578125" style="92" customWidth="1"/>
    <col min="13837" max="13837" width="8.42578125" style="92" customWidth="1"/>
    <col min="13838" max="13839" width="8.28515625" style="92" customWidth="1"/>
    <col min="13840" max="13840" width="11.42578125" style="92" customWidth="1"/>
    <col min="13841" max="13841" width="10.42578125" style="92" customWidth="1"/>
    <col min="13842" max="13842" width="9.7109375" style="92" customWidth="1"/>
    <col min="13843" max="13843" width="9.140625" style="92" customWidth="1"/>
    <col min="13844" max="13844" width="9.42578125" style="92" customWidth="1"/>
    <col min="13845" max="13845" width="7.42578125" style="92" customWidth="1"/>
    <col min="13846" max="13846" width="8.42578125" style="92" customWidth="1"/>
    <col min="13847" max="13847" width="8.28515625" style="92" customWidth="1"/>
    <col min="13848" max="13848" width="11.42578125" style="92" customWidth="1"/>
    <col min="13849" max="13861" width="8" style="92" customWidth="1"/>
    <col min="13862" max="13862" width="9.42578125" style="92" customWidth="1"/>
    <col min="13863" max="13863" width="6.7109375" style="92" customWidth="1"/>
    <col min="13864" max="13866" width="8.28515625" style="92" customWidth="1"/>
    <col min="13867" max="13867" width="8.7109375" style="92" customWidth="1"/>
    <col min="13868" max="13868" width="6.7109375" style="92" customWidth="1"/>
    <col min="13869" max="14071" width="8.7109375" style="92"/>
    <col min="14072" max="14072" width="5.140625" style="92" customWidth="1"/>
    <col min="14073" max="14073" width="24" style="92" customWidth="1"/>
    <col min="14074" max="14074" width="7.7109375" style="92" customWidth="1"/>
    <col min="14075" max="14075" width="8.7109375" style="92" customWidth="1"/>
    <col min="14076" max="14076" width="8.42578125" style="92" customWidth="1"/>
    <col min="14077" max="14077" width="9.42578125" style="92" customWidth="1"/>
    <col min="14078" max="14078" width="10.140625" style="92" customWidth="1"/>
    <col min="14079" max="14079" width="7.7109375" style="92" customWidth="1"/>
    <col min="14080" max="14081" width="9.42578125" style="92" customWidth="1"/>
    <col min="14082" max="14083" width="9.7109375" style="92" customWidth="1"/>
    <col min="14084" max="14084" width="8.7109375" style="92" customWidth="1"/>
    <col min="14085" max="14085" width="9.42578125" style="92" customWidth="1"/>
    <col min="14086" max="14086" width="6.7109375" style="92" customWidth="1"/>
    <col min="14087" max="14087" width="8.140625" style="92" customWidth="1"/>
    <col min="14088" max="14088" width="10.42578125" style="92" customWidth="1"/>
    <col min="14089" max="14089" width="8.42578125" style="92" customWidth="1"/>
    <col min="14090" max="14090" width="9.7109375" style="92" customWidth="1"/>
    <col min="14091" max="14091" width="9.42578125" style="92" customWidth="1"/>
    <col min="14092" max="14092" width="7.42578125" style="92" customWidth="1"/>
    <col min="14093" max="14093" width="8.42578125" style="92" customWidth="1"/>
    <col min="14094" max="14095" width="8.28515625" style="92" customWidth="1"/>
    <col min="14096" max="14096" width="11.42578125" style="92" customWidth="1"/>
    <col min="14097" max="14097" width="10.42578125" style="92" customWidth="1"/>
    <col min="14098" max="14098" width="9.7109375" style="92" customWidth="1"/>
    <col min="14099" max="14099" width="9.140625" style="92" customWidth="1"/>
    <col min="14100" max="14100" width="9.42578125" style="92" customWidth="1"/>
    <col min="14101" max="14101" width="7.42578125" style="92" customWidth="1"/>
    <col min="14102" max="14102" width="8.42578125" style="92" customWidth="1"/>
    <col min="14103" max="14103" width="8.28515625" style="92" customWidth="1"/>
    <col min="14104" max="14104" width="11.42578125" style="92" customWidth="1"/>
    <col min="14105" max="14117" width="8" style="92" customWidth="1"/>
    <col min="14118" max="14118" width="9.42578125" style="92" customWidth="1"/>
    <col min="14119" max="14119" width="6.7109375" style="92" customWidth="1"/>
    <col min="14120" max="14122" width="8.28515625" style="92" customWidth="1"/>
    <col min="14123" max="14123" width="8.7109375" style="92" customWidth="1"/>
    <col min="14124" max="14124" width="6.7109375" style="92" customWidth="1"/>
    <col min="14125" max="14327" width="8.7109375" style="92"/>
    <col min="14328" max="14328" width="5.140625" style="92" customWidth="1"/>
    <col min="14329" max="14329" width="24" style="92" customWidth="1"/>
    <col min="14330" max="14330" width="7.7109375" style="92" customWidth="1"/>
    <col min="14331" max="14331" width="8.7109375" style="92" customWidth="1"/>
    <col min="14332" max="14332" width="8.42578125" style="92" customWidth="1"/>
    <col min="14333" max="14333" width="9.42578125" style="92" customWidth="1"/>
    <col min="14334" max="14334" width="10.140625" style="92" customWidth="1"/>
    <col min="14335" max="14335" width="7.7109375" style="92" customWidth="1"/>
    <col min="14336" max="14337" width="9.42578125" style="92" customWidth="1"/>
    <col min="14338" max="14339" width="9.7109375" style="92" customWidth="1"/>
    <col min="14340" max="14340" width="8.7109375" style="92" customWidth="1"/>
    <col min="14341" max="14341" width="9.42578125" style="92" customWidth="1"/>
    <col min="14342" max="14342" width="6.7109375" style="92" customWidth="1"/>
    <col min="14343" max="14343" width="8.140625" style="92" customWidth="1"/>
    <col min="14344" max="14344" width="10.42578125" style="92" customWidth="1"/>
    <col min="14345" max="14345" width="8.42578125" style="92" customWidth="1"/>
    <col min="14346" max="14346" width="9.7109375" style="92" customWidth="1"/>
    <col min="14347" max="14347" width="9.42578125" style="92" customWidth="1"/>
    <col min="14348" max="14348" width="7.42578125" style="92" customWidth="1"/>
    <col min="14349" max="14349" width="8.42578125" style="92" customWidth="1"/>
    <col min="14350" max="14351" width="8.28515625" style="92" customWidth="1"/>
    <col min="14352" max="14352" width="11.42578125" style="92" customWidth="1"/>
    <col min="14353" max="14353" width="10.42578125" style="92" customWidth="1"/>
    <col min="14354" max="14354" width="9.7109375" style="92" customWidth="1"/>
    <col min="14355" max="14355" width="9.140625" style="92" customWidth="1"/>
    <col min="14356" max="14356" width="9.42578125" style="92" customWidth="1"/>
    <col min="14357" max="14357" width="7.42578125" style="92" customWidth="1"/>
    <col min="14358" max="14358" width="8.42578125" style="92" customWidth="1"/>
    <col min="14359" max="14359" width="8.28515625" style="92" customWidth="1"/>
    <col min="14360" max="14360" width="11.42578125" style="92" customWidth="1"/>
    <col min="14361" max="14373" width="8" style="92" customWidth="1"/>
    <col min="14374" max="14374" width="9.42578125" style="92" customWidth="1"/>
    <col min="14375" max="14375" width="6.7109375" style="92" customWidth="1"/>
    <col min="14376" max="14378" width="8.28515625" style="92" customWidth="1"/>
    <col min="14379" max="14379" width="8.7109375" style="92" customWidth="1"/>
    <col min="14380" max="14380" width="6.7109375" style="92" customWidth="1"/>
    <col min="14381" max="14583" width="8.7109375" style="92"/>
    <col min="14584" max="14584" width="5.140625" style="92" customWidth="1"/>
    <col min="14585" max="14585" width="24" style="92" customWidth="1"/>
    <col min="14586" max="14586" width="7.7109375" style="92" customWidth="1"/>
    <col min="14587" max="14587" width="8.7109375" style="92" customWidth="1"/>
    <col min="14588" max="14588" width="8.42578125" style="92" customWidth="1"/>
    <col min="14589" max="14589" width="9.42578125" style="92" customWidth="1"/>
    <col min="14590" max="14590" width="10.140625" style="92" customWidth="1"/>
    <col min="14591" max="14591" width="7.7109375" style="92" customWidth="1"/>
    <col min="14592" max="14593" width="9.42578125" style="92" customWidth="1"/>
    <col min="14594" max="14595" width="9.7109375" style="92" customWidth="1"/>
    <col min="14596" max="14596" width="8.7109375" style="92" customWidth="1"/>
    <col min="14597" max="14597" width="9.42578125" style="92" customWidth="1"/>
    <col min="14598" max="14598" width="6.7109375" style="92" customWidth="1"/>
    <col min="14599" max="14599" width="8.140625" style="92" customWidth="1"/>
    <col min="14600" max="14600" width="10.42578125" style="92" customWidth="1"/>
    <col min="14601" max="14601" width="8.42578125" style="92" customWidth="1"/>
    <col min="14602" max="14602" width="9.7109375" style="92" customWidth="1"/>
    <col min="14603" max="14603" width="9.42578125" style="92" customWidth="1"/>
    <col min="14604" max="14604" width="7.42578125" style="92" customWidth="1"/>
    <col min="14605" max="14605" width="8.42578125" style="92" customWidth="1"/>
    <col min="14606" max="14607" width="8.28515625" style="92" customWidth="1"/>
    <col min="14608" max="14608" width="11.42578125" style="92" customWidth="1"/>
    <col min="14609" max="14609" width="10.42578125" style="92" customWidth="1"/>
    <col min="14610" max="14610" width="9.7109375" style="92" customWidth="1"/>
    <col min="14611" max="14611" width="9.140625" style="92" customWidth="1"/>
    <col min="14612" max="14612" width="9.42578125" style="92" customWidth="1"/>
    <col min="14613" max="14613" width="7.42578125" style="92" customWidth="1"/>
    <col min="14614" max="14614" width="8.42578125" style="92" customWidth="1"/>
    <col min="14615" max="14615" width="8.28515625" style="92" customWidth="1"/>
    <col min="14616" max="14616" width="11.42578125" style="92" customWidth="1"/>
    <col min="14617" max="14629" width="8" style="92" customWidth="1"/>
    <col min="14630" max="14630" width="9.42578125" style="92" customWidth="1"/>
    <col min="14631" max="14631" width="6.7109375" style="92" customWidth="1"/>
    <col min="14632" max="14634" width="8.28515625" style="92" customWidth="1"/>
    <col min="14635" max="14635" width="8.7109375" style="92" customWidth="1"/>
    <col min="14636" max="14636" width="6.7109375" style="92" customWidth="1"/>
    <col min="14637" max="14839" width="8.7109375" style="92"/>
    <col min="14840" max="14840" width="5.140625" style="92" customWidth="1"/>
    <col min="14841" max="14841" width="24" style="92" customWidth="1"/>
    <col min="14842" max="14842" width="7.7109375" style="92" customWidth="1"/>
    <col min="14843" max="14843" width="8.7109375" style="92" customWidth="1"/>
    <col min="14844" max="14844" width="8.42578125" style="92" customWidth="1"/>
    <col min="14845" max="14845" width="9.42578125" style="92" customWidth="1"/>
    <col min="14846" max="14846" width="10.140625" style="92" customWidth="1"/>
    <col min="14847" max="14847" width="7.7109375" style="92" customWidth="1"/>
    <col min="14848" max="14849" width="9.42578125" style="92" customWidth="1"/>
    <col min="14850" max="14851" width="9.7109375" style="92" customWidth="1"/>
    <col min="14852" max="14852" width="8.7109375" style="92" customWidth="1"/>
    <col min="14853" max="14853" width="9.42578125" style="92" customWidth="1"/>
    <col min="14854" max="14854" width="6.7109375" style="92" customWidth="1"/>
    <col min="14855" max="14855" width="8.140625" style="92" customWidth="1"/>
    <col min="14856" max="14856" width="10.42578125" style="92" customWidth="1"/>
    <col min="14857" max="14857" width="8.42578125" style="92" customWidth="1"/>
    <col min="14858" max="14858" width="9.7109375" style="92" customWidth="1"/>
    <col min="14859" max="14859" width="9.42578125" style="92" customWidth="1"/>
    <col min="14860" max="14860" width="7.42578125" style="92" customWidth="1"/>
    <col min="14861" max="14861" width="8.42578125" style="92" customWidth="1"/>
    <col min="14862" max="14863" width="8.28515625" style="92" customWidth="1"/>
    <col min="14864" max="14864" width="11.42578125" style="92" customWidth="1"/>
    <col min="14865" max="14865" width="10.42578125" style="92" customWidth="1"/>
    <col min="14866" max="14866" width="9.7109375" style="92" customWidth="1"/>
    <col min="14867" max="14867" width="9.140625" style="92" customWidth="1"/>
    <col min="14868" max="14868" width="9.42578125" style="92" customWidth="1"/>
    <col min="14869" max="14869" width="7.42578125" style="92" customWidth="1"/>
    <col min="14870" max="14870" width="8.42578125" style="92" customWidth="1"/>
    <col min="14871" max="14871" width="8.28515625" style="92" customWidth="1"/>
    <col min="14872" max="14872" width="11.42578125" style="92" customWidth="1"/>
    <col min="14873" max="14885" width="8" style="92" customWidth="1"/>
    <col min="14886" max="14886" width="9.42578125" style="92" customWidth="1"/>
    <col min="14887" max="14887" width="6.7109375" style="92" customWidth="1"/>
    <col min="14888" max="14890" width="8.28515625" style="92" customWidth="1"/>
    <col min="14891" max="14891" width="8.7109375" style="92" customWidth="1"/>
    <col min="14892" max="14892" width="6.7109375" style="92" customWidth="1"/>
    <col min="14893" max="15095" width="8.7109375" style="92"/>
    <col min="15096" max="15096" width="5.140625" style="92" customWidth="1"/>
    <col min="15097" max="15097" width="24" style="92" customWidth="1"/>
    <col min="15098" max="15098" width="7.7109375" style="92" customWidth="1"/>
    <col min="15099" max="15099" width="8.7109375" style="92" customWidth="1"/>
    <col min="15100" max="15100" width="8.42578125" style="92" customWidth="1"/>
    <col min="15101" max="15101" width="9.42578125" style="92" customWidth="1"/>
    <col min="15102" max="15102" width="10.140625" style="92" customWidth="1"/>
    <col min="15103" max="15103" width="7.7109375" style="92" customWidth="1"/>
    <col min="15104" max="15105" width="9.42578125" style="92" customWidth="1"/>
    <col min="15106" max="15107" width="9.7109375" style="92" customWidth="1"/>
    <col min="15108" max="15108" width="8.7109375" style="92" customWidth="1"/>
    <col min="15109" max="15109" width="9.42578125" style="92" customWidth="1"/>
    <col min="15110" max="15110" width="6.7109375" style="92" customWidth="1"/>
    <col min="15111" max="15111" width="8.140625" style="92" customWidth="1"/>
    <col min="15112" max="15112" width="10.42578125" style="92" customWidth="1"/>
    <col min="15113" max="15113" width="8.42578125" style="92" customWidth="1"/>
    <col min="15114" max="15114" width="9.7109375" style="92" customWidth="1"/>
    <col min="15115" max="15115" width="9.42578125" style="92" customWidth="1"/>
    <col min="15116" max="15116" width="7.42578125" style="92" customWidth="1"/>
    <col min="15117" max="15117" width="8.42578125" style="92" customWidth="1"/>
    <col min="15118" max="15119" width="8.28515625" style="92" customWidth="1"/>
    <col min="15120" max="15120" width="11.42578125" style="92" customWidth="1"/>
    <col min="15121" max="15121" width="10.42578125" style="92" customWidth="1"/>
    <col min="15122" max="15122" width="9.7109375" style="92" customWidth="1"/>
    <col min="15123" max="15123" width="9.140625" style="92" customWidth="1"/>
    <col min="15124" max="15124" width="9.42578125" style="92" customWidth="1"/>
    <col min="15125" max="15125" width="7.42578125" style="92" customWidth="1"/>
    <col min="15126" max="15126" width="8.42578125" style="92" customWidth="1"/>
    <col min="15127" max="15127" width="8.28515625" style="92" customWidth="1"/>
    <col min="15128" max="15128" width="11.42578125" style="92" customWidth="1"/>
    <col min="15129" max="15141" width="8" style="92" customWidth="1"/>
    <col min="15142" max="15142" width="9.42578125" style="92" customWidth="1"/>
    <col min="15143" max="15143" width="6.7109375" style="92" customWidth="1"/>
    <col min="15144" max="15146" width="8.28515625" style="92" customWidth="1"/>
    <col min="15147" max="15147" width="8.7109375" style="92" customWidth="1"/>
    <col min="15148" max="15148" width="6.7109375" style="92" customWidth="1"/>
    <col min="15149" max="15351" width="8.7109375" style="92"/>
    <col min="15352" max="15352" width="5.140625" style="92" customWidth="1"/>
    <col min="15353" max="15353" width="24" style="92" customWidth="1"/>
    <col min="15354" max="15354" width="7.7109375" style="92" customWidth="1"/>
    <col min="15355" max="15355" width="8.7109375" style="92" customWidth="1"/>
    <col min="15356" max="15356" width="8.42578125" style="92" customWidth="1"/>
    <col min="15357" max="15357" width="9.42578125" style="92" customWidth="1"/>
    <col min="15358" max="15358" width="10.140625" style="92" customWidth="1"/>
    <col min="15359" max="15359" width="7.7109375" style="92" customWidth="1"/>
    <col min="15360" max="15361" width="9.42578125" style="92" customWidth="1"/>
    <col min="15362" max="15363" width="9.7109375" style="92" customWidth="1"/>
    <col min="15364" max="15364" width="8.7109375" style="92" customWidth="1"/>
    <col min="15365" max="15365" width="9.42578125" style="92" customWidth="1"/>
    <col min="15366" max="15366" width="6.7109375" style="92" customWidth="1"/>
    <col min="15367" max="15367" width="8.140625" style="92" customWidth="1"/>
    <col min="15368" max="15368" width="10.42578125" style="92" customWidth="1"/>
    <col min="15369" max="15369" width="8.42578125" style="92" customWidth="1"/>
    <col min="15370" max="15370" width="9.7109375" style="92" customWidth="1"/>
    <col min="15371" max="15371" width="9.42578125" style="92" customWidth="1"/>
    <col min="15372" max="15372" width="7.42578125" style="92" customWidth="1"/>
    <col min="15373" max="15373" width="8.42578125" style="92" customWidth="1"/>
    <col min="15374" max="15375" width="8.28515625" style="92" customWidth="1"/>
    <col min="15376" max="15376" width="11.42578125" style="92" customWidth="1"/>
    <col min="15377" max="15377" width="10.42578125" style="92" customWidth="1"/>
    <col min="15378" max="15378" width="9.7109375" style="92" customWidth="1"/>
    <col min="15379" max="15379" width="9.140625" style="92" customWidth="1"/>
    <col min="15380" max="15380" width="9.42578125" style="92" customWidth="1"/>
    <col min="15381" max="15381" width="7.42578125" style="92" customWidth="1"/>
    <col min="15382" max="15382" width="8.42578125" style="92" customWidth="1"/>
    <col min="15383" max="15383" width="8.28515625" style="92" customWidth="1"/>
    <col min="15384" max="15384" width="11.42578125" style="92" customWidth="1"/>
    <col min="15385" max="15397" width="8" style="92" customWidth="1"/>
    <col min="15398" max="15398" width="9.42578125" style="92" customWidth="1"/>
    <col min="15399" max="15399" width="6.7109375" style="92" customWidth="1"/>
    <col min="15400" max="15402" width="8.28515625" style="92" customWidth="1"/>
    <col min="15403" max="15403" width="8.7109375" style="92" customWidth="1"/>
    <col min="15404" max="15404" width="6.7109375" style="92" customWidth="1"/>
    <col min="15405" max="15607" width="8.7109375" style="92"/>
    <col min="15608" max="15608" width="5.140625" style="92" customWidth="1"/>
    <col min="15609" max="15609" width="24" style="92" customWidth="1"/>
    <col min="15610" max="15610" width="7.7109375" style="92" customWidth="1"/>
    <col min="15611" max="15611" width="8.7109375" style="92" customWidth="1"/>
    <col min="15612" max="15612" width="8.42578125" style="92" customWidth="1"/>
    <col min="15613" max="15613" width="9.42578125" style="92" customWidth="1"/>
    <col min="15614" max="15614" width="10.140625" style="92" customWidth="1"/>
    <col min="15615" max="15615" width="7.7109375" style="92" customWidth="1"/>
    <col min="15616" max="15617" width="9.42578125" style="92" customWidth="1"/>
    <col min="15618" max="15619" width="9.7109375" style="92" customWidth="1"/>
    <col min="15620" max="15620" width="8.7109375" style="92" customWidth="1"/>
    <col min="15621" max="15621" width="9.42578125" style="92" customWidth="1"/>
    <col min="15622" max="15622" width="6.7109375" style="92" customWidth="1"/>
    <col min="15623" max="15623" width="8.140625" style="92" customWidth="1"/>
    <col min="15624" max="15624" width="10.42578125" style="92" customWidth="1"/>
    <col min="15625" max="15625" width="8.42578125" style="92" customWidth="1"/>
    <col min="15626" max="15626" width="9.7109375" style="92" customWidth="1"/>
    <col min="15627" max="15627" width="9.42578125" style="92" customWidth="1"/>
    <col min="15628" max="15628" width="7.42578125" style="92" customWidth="1"/>
    <col min="15629" max="15629" width="8.42578125" style="92" customWidth="1"/>
    <col min="15630" max="15631" width="8.28515625" style="92" customWidth="1"/>
    <col min="15632" max="15632" width="11.42578125" style="92" customWidth="1"/>
    <col min="15633" max="15633" width="10.42578125" style="92" customWidth="1"/>
    <col min="15634" max="15634" width="9.7109375" style="92" customWidth="1"/>
    <col min="15635" max="15635" width="9.140625" style="92" customWidth="1"/>
    <col min="15636" max="15636" width="9.42578125" style="92" customWidth="1"/>
    <col min="15637" max="15637" width="7.42578125" style="92" customWidth="1"/>
    <col min="15638" max="15638" width="8.42578125" style="92" customWidth="1"/>
    <col min="15639" max="15639" width="8.28515625" style="92" customWidth="1"/>
    <col min="15640" max="15640" width="11.42578125" style="92" customWidth="1"/>
    <col min="15641" max="15653" width="8" style="92" customWidth="1"/>
    <col min="15654" max="15654" width="9.42578125" style="92" customWidth="1"/>
    <col min="15655" max="15655" width="6.7109375" style="92" customWidth="1"/>
    <col min="15656" max="15658" width="8.28515625" style="92" customWidth="1"/>
    <col min="15659" max="15659" width="8.7109375" style="92" customWidth="1"/>
    <col min="15660" max="15660" width="6.7109375" style="92" customWidth="1"/>
    <col min="15661" max="15863" width="8.7109375" style="92"/>
    <col min="15864" max="15864" width="5.140625" style="92" customWidth="1"/>
    <col min="15865" max="15865" width="24" style="92" customWidth="1"/>
    <col min="15866" max="15866" width="7.7109375" style="92" customWidth="1"/>
    <col min="15867" max="15867" width="8.7109375" style="92" customWidth="1"/>
    <col min="15868" max="15868" width="8.42578125" style="92" customWidth="1"/>
    <col min="15869" max="15869" width="9.42578125" style="92" customWidth="1"/>
    <col min="15870" max="15870" width="10.140625" style="92" customWidth="1"/>
    <col min="15871" max="15871" width="7.7109375" style="92" customWidth="1"/>
    <col min="15872" max="15873" width="9.42578125" style="92" customWidth="1"/>
    <col min="15874" max="15875" width="9.7109375" style="92" customWidth="1"/>
    <col min="15876" max="15876" width="8.7109375" style="92" customWidth="1"/>
    <col min="15877" max="15877" width="9.42578125" style="92" customWidth="1"/>
    <col min="15878" max="15878" width="6.7109375" style="92" customWidth="1"/>
    <col min="15879" max="15879" width="8.140625" style="92" customWidth="1"/>
    <col min="15880" max="15880" width="10.42578125" style="92" customWidth="1"/>
    <col min="15881" max="15881" width="8.42578125" style="92" customWidth="1"/>
    <col min="15882" max="15882" width="9.7109375" style="92" customWidth="1"/>
    <col min="15883" max="15883" width="9.42578125" style="92" customWidth="1"/>
    <col min="15884" max="15884" width="7.42578125" style="92" customWidth="1"/>
    <col min="15885" max="15885" width="8.42578125" style="92" customWidth="1"/>
    <col min="15886" max="15887" width="8.28515625" style="92" customWidth="1"/>
    <col min="15888" max="15888" width="11.42578125" style="92" customWidth="1"/>
    <col min="15889" max="15889" width="10.42578125" style="92" customWidth="1"/>
    <col min="15890" max="15890" width="9.7109375" style="92" customWidth="1"/>
    <col min="15891" max="15891" width="9.140625" style="92" customWidth="1"/>
    <col min="15892" max="15892" width="9.42578125" style="92" customWidth="1"/>
    <col min="15893" max="15893" width="7.42578125" style="92" customWidth="1"/>
    <col min="15894" max="15894" width="8.42578125" style="92" customWidth="1"/>
    <col min="15895" max="15895" width="8.28515625" style="92" customWidth="1"/>
    <col min="15896" max="15896" width="11.42578125" style="92" customWidth="1"/>
    <col min="15897" max="15909" width="8" style="92" customWidth="1"/>
    <col min="15910" max="15910" width="9.42578125" style="92" customWidth="1"/>
    <col min="15911" max="15911" width="6.7109375" style="92" customWidth="1"/>
    <col min="15912" max="15914" width="8.28515625" style="92" customWidth="1"/>
    <col min="15915" max="15915" width="8.7109375" style="92" customWidth="1"/>
    <col min="15916" max="15916" width="6.7109375" style="92" customWidth="1"/>
    <col min="15917" max="16119" width="8.7109375" style="92"/>
    <col min="16120" max="16120" width="5.140625" style="92" customWidth="1"/>
    <col min="16121" max="16121" width="24" style="92" customWidth="1"/>
    <col min="16122" max="16122" width="7.7109375" style="92" customWidth="1"/>
    <col min="16123" max="16123" width="8.7109375" style="92" customWidth="1"/>
    <col min="16124" max="16124" width="8.42578125" style="92" customWidth="1"/>
    <col min="16125" max="16125" width="9.42578125" style="92" customWidth="1"/>
    <col min="16126" max="16126" width="10.140625" style="92" customWidth="1"/>
    <col min="16127" max="16127" width="7.7109375" style="92" customWidth="1"/>
    <col min="16128" max="16129" width="9.42578125" style="92" customWidth="1"/>
    <col min="16130" max="16131" width="9.7109375" style="92" customWidth="1"/>
    <col min="16132" max="16132" width="8.7109375" style="92" customWidth="1"/>
    <col min="16133" max="16133" width="9.42578125" style="92" customWidth="1"/>
    <col min="16134" max="16134" width="6.7109375" style="92" customWidth="1"/>
    <col min="16135" max="16135" width="8.140625" style="92" customWidth="1"/>
    <col min="16136" max="16136" width="10.42578125" style="92" customWidth="1"/>
    <col min="16137" max="16137" width="8.42578125" style="92" customWidth="1"/>
    <col min="16138" max="16138" width="9.7109375" style="92" customWidth="1"/>
    <col min="16139" max="16139" width="9.42578125" style="92" customWidth="1"/>
    <col min="16140" max="16140" width="7.42578125" style="92" customWidth="1"/>
    <col min="16141" max="16141" width="8.42578125" style="92" customWidth="1"/>
    <col min="16142" max="16143" width="8.28515625" style="92" customWidth="1"/>
    <col min="16144" max="16144" width="11.42578125" style="92" customWidth="1"/>
    <col min="16145" max="16145" width="10.42578125" style="92" customWidth="1"/>
    <col min="16146" max="16146" width="9.7109375" style="92" customWidth="1"/>
    <col min="16147" max="16147" width="9.140625" style="92" customWidth="1"/>
    <col min="16148" max="16148" width="9.42578125" style="92" customWidth="1"/>
    <col min="16149" max="16149" width="7.42578125" style="92" customWidth="1"/>
    <col min="16150" max="16150" width="8.42578125" style="92" customWidth="1"/>
    <col min="16151" max="16151" width="8.28515625" style="92" customWidth="1"/>
    <col min="16152" max="16152" width="11.42578125" style="92" customWidth="1"/>
    <col min="16153" max="16165" width="8" style="92" customWidth="1"/>
    <col min="16166" max="16166" width="9.42578125" style="92" customWidth="1"/>
    <col min="16167" max="16167" width="6.7109375" style="92" customWidth="1"/>
    <col min="16168" max="16170" width="8.28515625" style="92" customWidth="1"/>
    <col min="16171" max="16171" width="8.7109375" style="92" customWidth="1"/>
    <col min="16172" max="16172" width="6.7109375" style="92" customWidth="1"/>
    <col min="16173" max="16384" width="8.7109375" style="92"/>
  </cols>
  <sheetData>
    <row r="1" spans="1:48" ht="22.5" customHeight="1">
      <c r="A1" s="1201" t="s">
        <v>491</v>
      </c>
      <c r="B1" s="1201"/>
      <c r="C1" s="1201"/>
      <c r="D1" s="1201"/>
      <c r="E1" s="1201"/>
      <c r="F1" s="1201"/>
      <c r="G1" s="1201"/>
      <c r="H1" s="1201"/>
      <c r="I1" s="1201"/>
      <c r="J1" s="1201"/>
      <c r="K1" s="1201"/>
      <c r="L1" s="1201"/>
      <c r="M1" s="1201"/>
      <c r="N1" s="139"/>
      <c r="O1" s="139"/>
      <c r="P1" s="139"/>
      <c r="Q1" s="139"/>
      <c r="R1" s="139"/>
      <c r="S1" s="141"/>
      <c r="T1" s="141"/>
      <c r="U1" s="141"/>
      <c r="V1" s="141"/>
      <c r="W1" s="141"/>
      <c r="X1" s="141"/>
      <c r="Y1" s="141"/>
      <c r="Z1" s="141"/>
      <c r="AA1" s="141"/>
      <c r="AB1" s="141"/>
      <c r="AC1" s="141"/>
      <c r="AD1" s="141"/>
      <c r="AE1" s="141"/>
      <c r="AF1" s="141"/>
      <c r="AG1" s="141"/>
      <c r="AH1" s="1300" t="s">
        <v>1</v>
      </c>
      <c r="AI1" s="1300"/>
      <c r="AJ1" s="1300"/>
      <c r="AK1" s="1300"/>
      <c r="AL1" s="1300"/>
      <c r="AM1" s="1300"/>
      <c r="AN1" s="1300"/>
      <c r="AO1" s="1300"/>
      <c r="AP1" s="1300"/>
      <c r="AQ1" s="1300"/>
      <c r="AR1" s="1300"/>
    </row>
    <row r="2" spans="1:48" ht="22.5" customHeight="1">
      <c r="A2" s="1252" t="s">
        <v>2</v>
      </c>
      <c r="B2" s="1252"/>
      <c r="C2" s="1252"/>
      <c r="D2" s="1252"/>
      <c r="E2" s="1252"/>
      <c r="F2" s="1252"/>
      <c r="G2" s="1252"/>
      <c r="H2" s="1252"/>
      <c r="I2" s="1252"/>
      <c r="J2" s="1252"/>
      <c r="K2" s="1252"/>
      <c r="L2" s="1252"/>
      <c r="M2" s="1252"/>
      <c r="N2" s="140"/>
      <c r="O2" s="140"/>
      <c r="P2" s="140"/>
      <c r="Q2" s="140"/>
      <c r="R2" s="140"/>
      <c r="S2" s="141"/>
      <c r="T2" s="141"/>
      <c r="U2" s="141"/>
      <c r="V2" s="141"/>
      <c r="W2" s="141"/>
      <c r="X2" s="141"/>
      <c r="Y2" s="141"/>
      <c r="Z2" s="141"/>
      <c r="AA2" s="141"/>
      <c r="AB2" s="141"/>
      <c r="AC2" s="141"/>
      <c r="AD2" s="141"/>
      <c r="AE2" s="141"/>
      <c r="AF2" s="141"/>
      <c r="AG2" s="141"/>
      <c r="AH2" s="1301" t="s">
        <v>3</v>
      </c>
      <c r="AI2" s="1301"/>
      <c r="AJ2" s="1301"/>
      <c r="AK2" s="1301"/>
      <c r="AL2" s="1301"/>
      <c r="AM2" s="1301"/>
      <c r="AN2" s="1301"/>
      <c r="AO2" s="1301"/>
      <c r="AP2" s="1301"/>
      <c r="AQ2" s="1301"/>
      <c r="AR2" s="1301"/>
    </row>
    <row r="3" spans="1:48" s="127" customFormat="1" ht="34.5" customHeight="1">
      <c r="A3" s="1253" t="s">
        <v>492</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c r="AJ3" s="1253"/>
      <c r="AK3" s="1253"/>
      <c r="AL3" s="1253"/>
      <c r="AM3" s="1253"/>
      <c r="AN3" s="1253"/>
      <c r="AO3" s="1253"/>
      <c r="AP3" s="1253"/>
      <c r="AQ3" s="1253"/>
      <c r="AR3" s="1253"/>
    </row>
    <row r="4" spans="1:48" s="128" customFormat="1" ht="58.15" customHeight="1">
      <c r="A4" s="1201" t="s">
        <v>493</v>
      </c>
      <c r="B4" s="1201"/>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c r="AH4" s="1201"/>
      <c r="AI4" s="1201"/>
      <c r="AJ4" s="1201"/>
      <c r="AK4" s="1201"/>
      <c r="AL4" s="1201"/>
      <c r="AM4" s="1201"/>
      <c r="AN4" s="1201"/>
      <c r="AO4" s="1201"/>
      <c r="AP4" s="1201"/>
      <c r="AQ4" s="1201"/>
      <c r="AR4" s="1201"/>
      <c r="AV4" s="137"/>
    </row>
    <row r="5" spans="1:48" s="129" customFormat="1" ht="35.25" customHeight="1">
      <c r="A5" s="1254" t="s">
        <v>6</v>
      </c>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c r="AV5" s="128"/>
    </row>
    <row r="6" spans="1:48" s="130" customFormat="1" ht="44.45" customHeight="1">
      <c r="A6" s="1241" t="s">
        <v>172</v>
      </c>
      <c r="B6" s="1241" t="s">
        <v>69</v>
      </c>
      <c r="C6" s="1241" t="s">
        <v>214</v>
      </c>
      <c r="D6" s="1241" t="s">
        <v>215</v>
      </c>
      <c r="E6" s="1241" t="s">
        <v>173</v>
      </c>
      <c r="F6" s="1242" t="s">
        <v>494</v>
      </c>
      <c r="G6" s="1242" t="s">
        <v>495</v>
      </c>
      <c r="H6" s="1266" t="s">
        <v>496</v>
      </c>
      <c r="I6" s="1298"/>
      <c r="J6" s="1298"/>
      <c r="K6" s="1298"/>
      <c r="L6" s="1298"/>
      <c r="M6" s="1298"/>
      <c r="N6" s="1298"/>
      <c r="O6" s="1298"/>
      <c r="P6" s="1299"/>
      <c r="Q6" s="1266" t="s">
        <v>497</v>
      </c>
      <c r="R6" s="1298"/>
      <c r="S6" s="1298"/>
      <c r="T6" s="1298"/>
      <c r="U6" s="1298"/>
      <c r="V6" s="1298"/>
      <c r="W6" s="1299"/>
      <c r="X6" s="1277" t="s">
        <v>498</v>
      </c>
      <c r="Y6" s="1278"/>
      <c r="Z6" s="1278"/>
      <c r="AA6" s="1278"/>
      <c r="AB6" s="1278"/>
      <c r="AC6" s="1276"/>
      <c r="AD6" s="1277" t="s">
        <v>499</v>
      </c>
      <c r="AE6" s="1278"/>
      <c r="AF6" s="1278"/>
      <c r="AG6" s="1278"/>
      <c r="AH6" s="1278"/>
      <c r="AI6" s="1276"/>
      <c r="AJ6" s="1241" t="s">
        <v>500</v>
      </c>
      <c r="AK6" s="1241"/>
      <c r="AL6" s="1241"/>
      <c r="AM6" s="1241"/>
      <c r="AN6" s="1241"/>
      <c r="AO6" s="1241"/>
      <c r="AP6" s="1241"/>
      <c r="AQ6" s="1241"/>
      <c r="AR6" s="1241" t="s">
        <v>11</v>
      </c>
    </row>
    <row r="7" spans="1:48" s="130" customFormat="1" ht="28.5" customHeight="1">
      <c r="A7" s="1241"/>
      <c r="B7" s="1241"/>
      <c r="C7" s="1241"/>
      <c r="D7" s="1241"/>
      <c r="E7" s="1241"/>
      <c r="F7" s="1243"/>
      <c r="G7" s="1243"/>
      <c r="H7" s="1241" t="s">
        <v>501</v>
      </c>
      <c r="I7" s="1241" t="s">
        <v>73</v>
      </c>
      <c r="J7" s="1241"/>
      <c r="K7" s="1241"/>
      <c r="L7" s="1241"/>
      <c r="M7" s="1241"/>
      <c r="N7" s="1241"/>
      <c r="O7" s="1241"/>
      <c r="P7" s="1241"/>
      <c r="Q7" s="1241" t="s">
        <v>501</v>
      </c>
      <c r="R7" s="1241" t="s">
        <v>73</v>
      </c>
      <c r="S7" s="1241"/>
      <c r="T7" s="1241"/>
      <c r="U7" s="1241"/>
      <c r="V7" s="1241"/>
      <c r="W7" s="1241"/>
      <c r="X7" s="1241" t="s">
        <v>502</v>
      </c>
      <c r="Y7" s="1241" t="s">
        <v>503</v>
      </c>
      <c r="Z7" s="1241"/>
      <c r="AA7" s="1241"/>
      <c r="AB7" s="1241"/>
      <c r="AC7" s="1241"/>
      <c r="AD7" s="1242" t="s">
        <v>502</v>
      </c>
      <c r="AE7" s="1277" t="s">
        <v>503</v>
      </c>
      <c r="AF7" s="1278"/>
      <c r="AG7" s="1278"/>
      <c r="AH7" s="1278"/>
      <c r="AI7" s="1276"/>
      <c r="AJ7" s="1241" t="s">
        <v>502</v>
      </c>
      <c r="AK7" s="1241" t="s">
        <v>503</v>
      </c>
      <c r="AL7" s="1241"/>
      <c r="AM7" s="1241"/>
      <c r="AN7" s="1241"/>
      <c r="AO7" s="1241"/>
      <c r="AP7" s="1241"/>
      <c r="AQ7" s="1241"/>
      <c r="AR7" s="1241"/>
    </row>
    <row r="8" spans="1:48" s="130" customFormat="1" ht="42.6" customHeight="1">
      <c r="A8" s="1241"/>
      <c r="B8" s="1241"/>
      <c r="C8" s="1241"/>
      <c r="D8" s="1241"/>
      <c r="E8" s="1241"/>
      <c r="F8" s="1243"/>
      <c r="G8" s="1243"/>
      <c r="H8" s="1241"/>
      <c r="I8" s="1241" t="s">
        <v>502</v>
      </c>
      <c r="J8" s="1241" t="s">
        <v>503</v>
      </c>
      <c r="K8" s="1241"/>
      <c r="L8" s="1241"/>
      <c r="M8" s="1241"/>
      <c r="N8" s="1241"/>
      <c r="O8" s="1241"/>
      <c r="P8" s="1241"/>
      <c r="Q8" s="1241"/>
      <c r="R8" s="1241" t="s">
        <v>502</v>
      </c>
      <c r="S8" s="1241" t="s">
        <v>503</v>
      </c>
      <c r="T8" s="1241"/>
      <c r="U8" s="1241"/>
      <c r="V8" s="1241"/>
      <c r="W8" s="1241"/>
      <c r="X8" s="1241"/>
      <c r="Y8" s="1241" t="s">
        <v>504</v>
      </c>
      <c r="Z8" s="1241"/>
      <c r="AA8" s="1241"/>
      <c r="AB8" s="1241"/>
      <c r="AC8" s="1241" t="s">
        <v>505</v>
      </c>
      <c r="AD8" s="1243"/>
      <c r="AE8" s="1277" t="s">
        <v>504</v>
      </c>
      <c r="AF8" s="1278"/>
      <c r="AG8" s="1278"/>
      <c r="AH8" s="1276"/>
      <c r="AI8" s="1242" t="s">
        <v>505</v>
      </c>
      <c r="AJ8" s="1241"/>
      <c r="AK8" s="1241" t="s">
        <v>504</v>
      </c>
      <c r="AL8" s="1241"/>
      <c r="AM8" s="1241"/>
      <c r="AN8" s="1241"/>
      <c r="AO8" s="1241" t="s">
        <v>505</v>
      </c>
      <c r="AP8" s="1241"/>
      <c r="AQ8" s="1241"/>
      <c r="AR8" s="1241"/>
    </row>
    <row r="9" spans="1:48" s="130" customFormat="1" ht="24.75" customHeight="1">
      <c r="A9" s="1241"/>
      <c r="B9" s="1241"/>
      <c r="C9" s="1241"/>
      <c r="D9" s="1241"/>
      <c r="E9" s="1241"/>
      <c r="F9" s="1243"/>
      <c r="G9" s="1243"/>
      <c r="H9" s="1241"/>
      <c r="I9" s="1241"/>
      <c r="J9" s="1241" t="s">
        <v>506</v>
      </c>
      <c r="K9" s="1241"/>
      <c r="L9" s="1241"/>
      <c r="M9" s="1241" t="s">
        <v>507</v>
      </c>
      <c r="N9" s="1241"/>
      <c r="O9" s="1241"/>
      <c r="P9" s="1241"/>
      <c r="Q9" s="1241"/>
      <c r="R9" s="1241"/>
      <c r="S9" s="1241" t="s">
        <v>506</v>
      </c>
      <c r="T9" s="1241"/>
      <c r="U9" s="1241"/>
      <c r="V9" s="1241" t="s">
        <v>507</v>
      </c>
      <c r="W9" s="1241"/>
      <c r="X9" s="1241"/>
      <c r="Y9" s="1241"/>
      <c r="Z9" s="1241"/>
      <c r="AA9" s="1241"/>
      <c r="AB9" s="1241"/>
      <c r="AC9" s="1241"/>
      <c r="AD9" s="1243"/>
      <c r="AE9" s="1242" t="s">
        <v>508</v>
      </c>
      <c r="AF9" s="1277" t="s">
        <v>82</v>
      </c>
      <c r="AG9" s="1278"/>
      <c r="AH9" s="1276"/>
      <c r="AI9" s="1243"/>
      <c r="AJ9" s="1241"/>
      <c r="AK9" s="1241" t="s">
        <v>508</v>
      </c>
      <c r="AL9" s="1241" t="s">
        <v>82</v>
      </c>
      <c r="AM9" s="1241"/>
      <c r="AN9" s="1241"/>
      <c r="AO9" s="1241" t="s">
        <v>17</v>
      </c>
      <c r="AP9" s="1241" t="s">
        <v>82</v>
      </c>
      <c r="AQ9" s="1241"/>
      <c r="AR9" s="1241"/>
    </row>
    <row r="10" spans="1:48" s="130" customFormat="1" ht="12" customHeight="1">
      <c r="A10" s="1241"/>
      <c r="B10" s="1241"/>
      <c r="C10" s="1241"/>
      <c r="D10" s="1241"/>
      <c r="E10" s="1241"/>
      <c r="F10" s="1243"/>
      <c r="G10" s="1243"/>
      <c r="H10" s="1241"/>
      <c r="I10" s="1241"/>
      <c r="J10" s="1241"/>
      <c r="K10" s="1241"/>
      <c r="L10" s="1241"/>
      <c r="M10" s="1241"/>
      <c r="N10" s="1241"/>
      <c r="O10" s="1241"/>
      <c r="P10" s="1241"/>
      <c r="Q10" s="1241"/>
      <c r="R10" s="1241"/>
      <c r="S10" s="1241"/>
      <c r="T10" s="1241"/>
      <c r="U10" s="1241"/>
      <c r="V10" s="1241"/>
      <c r="W10" s="1241"/>
      <c r="X10" s="1241"/>
      <c r="Y10" s="1241" t="s">
        <v>508</v>
      </c>
      <c r="Z10" s="1241" t="s">
        <v>25</v>
      </c>
      <c r="AA10" s="1241" t="s">
        <v>19</v>
      </c>
      <c r="AB10" s="1241" t="s">
        <v>261</v>
      </c>
      <c r="AC10" s="1241"/>
      <c r="AD10" s="1243"/>
      <c r="AE10" s="1243"/>
      <c r="AF10" s="1242" t="s">
        <v>25</v>
      </c>
      <c r="AG10" s="1242" t="s">
        <v>19</v>
      </c>
      <c r="AH10" s="1242" t="s">
        <v>261</v>
      </c>
      <c r="AI10" s="1243"/>
      <c r="AJ10" s="1241"/>
      <c r="AK10" s="1241"/>
      <c r="AL10" s="1241" t="s">
        <v>25</v>
      </c>
      <c r="AM10" s="1241" t="s">
        <v>19</v>
      </c>
      <c r="AN10" s="1241" t="s">
        <v>261</v>
      </c>
      <c r="AO10" s="1241"/>
      <c r="AP10" s="1241" t="s">
        <v>509</v>
      </c>
      <c r="AQ10" s="1241" t="s">
        <v>510</v>
      </c>
      <c r="AR10" s="1241"/>
    </row>
    <row r="11" spans="1:48" s="130" customFormat="1" ht="32.25" customHeight="1">
      <c r="A11" s="1241"/>
      <c r="B11" s="1241"/>
      <c r="C11" s="1241"/>
      <c r="D11" s="1241"/>
      <c r="E11" s="1241"/>
      <c r="F11" s="1243"/>
      <c r="G11" s="1243"/>
      <c r="H11" s="1241"/>
      <c r="I11" s="1241"/>
      <c r="J11" s="1241" t="s">
        <v>508</v>
      </c>
      <c r="K11" s="1241" t="s">
        <v>75</v>
      </c>
      <c r="L11" s="1241"/>
      <c r="M11" s="1241" t="s">
        <v>511</v>
      </c>
      <c r="N11" s="1241" t="s">
        <v>512</v>
      </c>
      <c r="O11" s="1241"/>
      <c r="P11" s="1241"/>
      <c r="Q11" s="1241"/>
      <c r="R11" s="1241"/>
      <c r="S11" s="1241" t="s">
        <v>508</v>
      </c>
      <c r="T11" s="1241" t="s">
        <v>75</v>
      </c>
      <c r="U11" s="1241"/>
      <c r="V11" s="1241" t="s">
        <v>511</v>
      </c>
      <c r="W11" s="1241" t="s">
        <v>512</v>
      </c>
      <c r="X11" s="1241"/>
      <c r="Y11" s="1241"/>
      <c r="Z11" s="1241"/>
      <c r="AA11" s="1241"/>
      <c r="AB11" s="1241"/>
      <c r="AC11" s="1241"/>
      <c r="AD11" s="1243"/>
      <c r="AE11" s="1243"/>
      <c r="AF11" s="1243"/>
      <c r="AG11" s="1243"/>
      <c r="AH11" s="1243"/>
      <c r="AI11" s="1243"/>
      <c r="AJ11" s="1241"/>
      <c r="AK11" s="1241"/>
      <c r="AL11" s="1241"/>
      <c r="AM11" s="1241"/>
      <c r="AN11" s="1241"/>
      <c r="AO11" s="1241"/>
      <c r="AP11" s="1241"/>
      <c r="AQ11" s="1241"/>
      <c r="AR11" s="1241"/>
    </row>
    <row r="12" spans="1:48" s="130" customFormat="1" ht="30" customHeight="1">
      <c r="A12" s="1241"/>
      <c r="B12" s="1241"/>
      <c r="C12" s="1241"/>
      <c r="D12" s="1241"/>
      <c r="E12" s="1241"/>
      <c r="F12" s="1243"/>
      <c r="G12" s="1243"/>
      <c r="H12" s="1241"/>
      <c r="I12" s="1241"/>
      <c r="J12" s="1241"/>
      <c r="K12" s="1241" t="s">
        <v>25</v>
      </c>
      <c r="L12" s="1241" t="s">
        <v>261</v>
      </c>
      <c r="M12" s="1241"/>
      <c r="N12" s="1241" t="s">
        <v>17</v>
      </c>
      <c r="O12" s="1241" t="s">
        <v>75</v>
      </c>
      <c r="P12" s="1241"/>
      <c r="Q12" s="1241"/>
      <c r="R12" s="1241"/>
      <c r="S12" s="1241"/>
      <c r="T12" s="1241" t="s">
        <v>25</v>
      </c>
      <c r="U12" s="1241" t="s">
        <v>261</v>
      </c>
      <c r="V12" s="1241"/>
      <c r="W12" s="1241"/>
      <c r="X12" s="1241"/>
      <c r="Y12" s="1241"/>
      <c r="Z12" s="1241"/>
      <c r="AA12" s="1241"/>
      <c r="AB12" s="1241"/>
      <c r="AC12" s="1241"/>
      <c r="AD12" s="1243"/>
      <c r="AE12" s="1243"/>
      <c r="AF12" s="1243"/>
      <c r="AG12" s="1243"/>
      <c r="AH12" s="1243"/>
      <c r="AI12" s="1243"/>
      <c r="AJ12" s="1241"/>
      <c r="AK12" s="1241"/>
      <c r="AL12" s="1241"/>
      <c r="AM12" s="1241"/>
      <c r="AN12" s="1241"/>
      <c r="AO12" s="1241"/>
      <c r="AP12" s="1241"/>
      <c r="AQ12" s="1241"/>
      <c r="AR12" s="1241"/>
    </row>
    <row r="13" spans="1:48" s="130" customFormat="1" ht="75">
      <c r="A13" s="1241"/>
      <c r="B13" s="1241"/>
      <c r="C13" s="1241"/>
      <c r="D13" s="1241"/>
      <c r="E13" s="1241"/>
      <c r="F13" s="1244"/>
      <c r="G13" s="1244"/>
      <c r="H13" s="1241"/>
      <c r="I13" s="1241"/>
      <c r="J13" s="1241"/>
      <c r="K13" s="1241"/>
      <c r="L13" s="1241"/>
      <c r="M13" s="1241"/>
      <c r="N13" s="1241"/>
      <c r="O13" s="2" t="s">
        <v>509</v>
      </c>
      <c r="P13" s="2" t="s">
        <v>510</v>
      </c>
      <c r="Q13" s="1241"/>
      <c r="R13" s="1241"/>
      <c r="S13" s="1241"/>
      <c r="T13" s="1241"/>
      <c r="U13" s="1241"/>
      <c r="V13" s="1241"/>
      <c r="W13" s="1241"/>
      <c r="X13" s="1241"/>
      <c r="Y13" s="1241"/>
      <c r="Z13" s="1241"/>
      <c r="AA13" s="1241"/>
      <c r="AB13" s="1241"/>
      <c r="AC13" s="1241"/>
      <c r="AD13" s="1244"/>
      <c r="AE13" s="1244"/>
      <c r="AF13" s="1244"/>
      <c r="AG13" s="1244"/>
      <c r="AH13" s="1244"/>
      <c r="AI13" s="1244"/>
      <c r="AJ13" s="1241"/>
      <c r="AK13" s="1241"/>
      <c r="AL13" s="1241"/>
      <c r="AM13" s="1241"/>
      <c r="AN13" s="1241"/>
      <c r="AO13" s="1241"/>
      <c r="AP13" s="1241"/>
      <c r="AQ13" s="1241"/>
      <c r="AR13" s="1241"/>
    </row>
    <row r="14" spans="1:48" s="131" customFormat="1" ht="24" customHeight="1">
      <c r="A14" s="2">
        <v>1</v>
      </c>
      <c r="B14" s="2">
        <f>A14+1</f>
        <v>2</v>
      </c>
      <c r="C14" s="2">
        <f t="shared" ref="C14:AR14" si="0">B14+1</f>
        <v>3</v>
      </c>
      <c r="D14" s="2">
        <f t="shared" si="0"/>
        <v>4</v>
      </c>
      <c r="E14" s="2">
        <f t="shared" si="0"/>
        <v>5</v>
      </c>
      <c r="F14" s="2">
        <f t="shared" si="0"/>
        <v>6</v>
      </c>
      <c r="G14" s="2">
        <f t="shared" si="0"/>
        <v>7</v>
      </c>
      <c r="H14" s="2">
        <f t="shared" si="0"/>
        <v>8</v>
      </c>
      <c r="I14" s="2">
        <f t="shared" si="0"/>
        <v>9</v>
      </c>
      <c r="J14" s="2">
        <f t="shared" si="0"/>
        <v>10</v>
      </c>
      <c r="K14" s="2">
        <f t="shared" si="0"/>
        <v>11</v>
      </c>
      <c r="L14" s="2">
        <f t="shared" si="0"/>
        <v>12</v>
      </c>
      <c r="M14" s="2">
        <f t="shared" si="0"/>
        <v>13</v>
      </c>
      <c r="N14" s="2">
        <f t="shared" si="0"/>
        <v>14</v>
      </c>
      <c r="O14" s="2">
        <f t="shared" si="0"/>
        <v>15</v>
      </c>
      <c r="P14" s="2">
        <f t="shared" si="0"/>
        <v>16</v>
      </c>
      <c r="Q14" s="2">
        <f t="shared" si="0"/>
        <v>17</v>
      </c>
      <c r="R14" s="2">
        <f t="shared" si="0"/>
        <v>18</v>
      </c>
      <c r="S14" s="2">
        <f t="shared" si="0"/>
        <v>19</v>
      </c>
      <c r="T14" s="2">
        <f t="shared" si="0"/>
        <v>20</v>
      </c>
      <c r="U14" s="2">
        <f t="shared" si="0"/>
        <v>21</v>
      </c>
      <c r="V14" s="2">
        <f t="shared" si="0"/>
        <v>22</v>
      </c>
      <c r="W14" s="2">
        <f t="shared" si="0"/>
        <v>23</v>
      </c>
      <c r="X14" s="2">
        <f t="shared" si="0"/>
        <v>24</v>
      </c>
      <c r="Y14" s="2">
        <f t="shared" si="0"/>
        <v>25</v>
      </c>
      <c r="Z14" s="2">
        <f t="shared" si="0"/>
        <v>26</v>
      </c>
      <c r="AA14" s="2">
        <f t="shared" si="0"/>
        <v>27</v>
      </c>
      <c r="AB14" s="2">
        <f t="shared" si="0"/>
        <v>28</v>
      </c>
      <c r="AC14" s="2">
        <f t="shared" si="0"/>
        <v>29</v>
      </c>
      <c r="AD14" s="2">
        <f t="shared" si="0"/>
        <v>30</v>
      </c>
      <c r="AE14" s="2">
        <f t="shared" si="0"/>
        <v>31</v>
      </c>
      <c r="AF14" s="2">
        <f t="shared" si="0"/>
        <v>32</v>
      </c>
      <c r="AG14" s="2">
        <f t="shared" si="0"/>
        <v>33</v>
      </c>
      <c r="AH14" s="2">
        <f t="shared" si="0"/>
        <v>34</v>
      </c>
      <c r="AI14" s="2">
        <f t="shared" si="0"/>
        <v>35</v>
      </c>
      <c r="AJ14" s="2">
        <v>17</v>
      </c>
      <c r="AK14" s="2">
        <f t="shared" si="0"/>
        <v>18</v>
      </c>
      <c r="AL14" s="2">
        <f t="shared" si="0"/>
        <v>19</v>
      </c>
      <c r="AM14" s="2">
        <f t="shared" si="0"/>
        <v>20</v>
      </c>
      <c r="AN14" s="2">
        <f t="shared" si="0"/>
        <v>21</v>
      </c>
      <c r="AO14" s="2">
        <f t="shared" si="0"/>
        <v>22</v>
      </c>
      <c r="AP14" s="2">
        <f t="shared" si="0"/>
        <v>23</v>
      </c>
      <c r="AQ14" s="2">
        <f t="shared" si="0"/>
        <v>24</v>
      </c>
      <c r="AR14" s="2">
        <f t="shared" si="0"/>
        <v>25</v>
      </c>
    </row>
    <row r="15" spans="1:48" s="131" customFormat="1" ht="27" customHeight="1">
      <c r="A15" s="2"/>
      <c r="B15" s="135" t="s">
        <v>27</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8" s="131" customFormat="1" ht="27" customHeight="1">
      <c r="A16" s="135" t="s">
        <v>513</v>
      </c>
      <c r="B16" s="17" t="s">
        <v>514</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46.5" customHeight="1">
      <c r="A17" s="15" t="s">
        <v>30</v>
      </c>
      <c r="B17" s="104" t="s">
        <v>198</v>
      </c>
      <c r="C17" s="105"/>
      <c r="D17" s="105"/>
      <c r="E17" s="105"/>
      <c r="F17" s="105"/>
      <c r="G17" s="105"/>
      <c r="H17" s="105"/>
      <c r="I17" s="106"/>
      <c r="J17" s="106"/>
      <c r="K17" s="106"/>
      <c r="L17" s="106"/>
      <c r="M17" s="106"/>
      <c r="N17" s="106"/>
      <c r="O17" s="106"/>
      <c r="P17" s="106"/>
      <c r="Q17" s="106"/>
      <c r="R17" s="106"/>
      <c r="S17" s="106"/>
      <c r="T17" s="106"/>
      <c r="U17" s="106"/>
      <c r="V17" s="106"/>
      <c r="W17" s="106"/>
      <c r="X17" s="121"/>
      <c r="Y17" s="121"/>
      <c r="Z17" s="121"/>
      <c r="AA17" s="121"/>
      <c r="AB17" s="121"/>
      <c r="AC17" s="121"/>
      <c r="AD17" s="121"/>
      <c r="AE17" s="121"/>
      <c r="AF17" s="121"/>
      <c r="AG17" s="121"/>
      <c r="AH17" s="121"/>
      <c r="AI17" s="121"/>
      <c r="AJ17" s="121"/>
      <c r="AK17" s="121"/>
      <c r="AL17" s="121"/>
      <c r="AM17" s="121"/>
      <c r="AN17" s="121"/>
      <c r="AO17" s="121"/>
      <c r="AP17" s="121"/>
      <c r="AQ17" s="121"/>
      <c r="AR17" s="121"/>
    </row>
    <row r="18" spans="1:44" s="95" customFormat="1" ht="78.75" customHeight="1">
      <c r="A18" s="107" t="s">
        <v>188</v>
      </c>
      <c r="B18" s="190" t="s">
        <v>515</v>
      </c>
      <c r="C18" s="114"/>
      <c r="D18" s="114"/>
      <c r="E18" s="114"/>
      <c r="F18" s="114"/>
      <c r="G18" s="114"/>
      <c r="H18" s="114"/>
      <c r="I18" s="115"/>
      <c r="J18" s="115"/>
      <c r="K18" s="115"/>
      <c r="L18" s="115"/>
      <c r="M18" s="115"/>
      <c r="N18" s="115"/>
      <c r="O18" s="115"/>
      <c r="P18" s="115"/>
      <c r="Q18" s="115"/>
      <c r="R18" s="115"/>
      <c r="S18" s="115"/>
      <c r="T18" s="115"/>
      <c r="U18" s="115"/>
      <c r="V18" s="115"/>
      <c r="W18" s="115"/>
      <c r="X18" s="124"/>
      <c r="Y18" s="124"/>
      <c r="Z18" s="124"/>
      <c r="AA18" s="124"/>
      <c r="AB18" s="124"/>
      <c r="AC18" s="124"/>
      <c r="AD18" s="124"/>
      <c r="AE18" s="124"/>
      <c r="AF18" s="124"/>
      <c r="AG18" s="124"/>
      <c r="AH18" s="124"/>
      <c r="AI18" s="124"/>
      <c r="AJ18" s="124"/>
      <c r="AK18" s="124"/>
      <c r="AL18" s="124"/>
      <c r="AM18" s="124"/>
      <c r="AN18" s="124"/>
      <c r="AO18" s="124"/>
      <c r="AP18" s="124"/>
      <c r="AQ18" s="124"/>
      <c r="AR18" s="124"/>
    </row>
    <row r="19" spans="1:44" ht="27" customHeight="1">
      <c r="A19" s="111" t="s">
        <v>190</v>
      </c>
      <c r="B19" s="20" t="s">
        <v>191</v>
      </c>
      <c r="C19" s="105"/>
      <c r="D19" s="105"/>
      <c r="E19" s="105"/>
      <c r="F19" s="105"/>
      <c r="G19" s="105"/>
      <c r="H19" s="105"/>
      <c r="I19" s="106"/>
      <c r="J19" s="106"/>
      <c r="K19" s="106"/>
      <c r="L19" s="106"/>
      <c r="M19" s="106"/>
      <c r="N19" s="106"/>
      <c r="O19" s="106"/>
      <c r="P19" s="106"/>
      <c r="Q19" s="106"/>
      <c r="R19" s="106"/>
      <c r="S19" s="106"/>
      <c r="T19" s="106"/>
      <c r="U19" s="106"/>
      <c r="V19" s="106"/>
      <c r="W19" s="106"/>
      <c r="X19" s="121"/>
      <c r="Y19" s="121"/>
      <c r="Z19" s="121"/>
      <c r="AA19" s="121"/>
      <c r="AB19" s="121"/>
      <c r="AC19" s="121"/>
      <c r="AD19" s="121"/>
      <c r="AE19" s="121"/>
      <c r="AF19" s="121"/>
      <c r="AG19" s="121"/>
      <c r="AH19" s="121"/>
      <c r="AI19" s="121"/>
      <c r="AJ19" s="121"/>
      <c r="AK19" s="121"/>
      <c r="AL19" s="121"/>
      <c r="AM19" s="121"/>
      <c r="AN19" s="121"/>
      <c r="AO19" s="121"/>
      <c r="AP19" s="121"/>
      <c r="AQ19" s="121"/>
      <c r="AR19" s="121"/>
    </row>
    <row r="20" spans="1:44" ht="27" customHeight="1">
      <c r="A20" s="111" t="s">
        <v>192</v>
      </c>
      <c r="B20" s="189" t="s">
        <v>193</v>
      </c>
      <c r="C20" s="105"/>
      <c r="D20" s="105"/>
      <c r="E20" s="105"/>
      <c r="F20" s="105"/>
      <c r="G20" s="105"/>
      <c r="H20" s="105"/>
      <c r="I20" s="106"/>
      <c r="J20" s="106"/>
      <c r="K20" s="106"/>
      <c r="L20" s="106"/>
      <c r="M20" s="106"/>
      <c r="N20" s="106"/>
      <c r="O20" s="106"/>
      <c r="P20" s="106"/>
      <c r="Q20" s="106"/>
      <c r="R20" s="106"/>
      <c r="S20" s="106"/>
      <c r="T20" s="106"/>
      <c r="U20" s="106"/>
      <c r="V20" s="106"/>
      <c r="W20" s="106"/>
      <c r="X20" s="121"/>
      <c r="Y20" s="121"/>
      <c r="Z20" s="121"/>
      <c r="AA20" s="121"/>
      <c r="AB20" s="121"/>
      <c r="AC20" s="121"/>
      <c r="AD20" s="121"/>
      <c r="AE20" s="121"/>
      <c r="AF20" s="121"/>
      <c r="AG20" s="121"/>
      <c r="AH20" s="121"/>
      <c r="AI20" s="121"/>
      <c r="AJ20" s="121"/>
      <c r="AK20" s="121"/>
      <c r="AL20" s="121"/>
      <c r="AM20" s="121"/>
      <c r="AN20" s="121"/>
      <c r="AO20" s="121"/>
      <c r="AP20" s="121"/>
      <c r="AQ20" s="121"/>
      <c r="AR20" s="121"/>
    </row>
    <row r="21" spans="1:44" s="93" customFormat="1" ht="40.5" customHeight="1">
      <c r="A21" s="107" t="s">
        <v>194</v>
      </c>
      <c r="B21" s="190" t="s">
        <v>516</v>
      </c>
      <c r="C21" s="109"/>
      <c r="D21" s="109"/>
      <c r="E21" s="109"/>
      <c r="F21" s="109"/>
      <c r="G21" s="109"/>
      <c r="H21" s="109"/>
      <c r="I21" s="110"/>
      <c r="J21" s="110"/>
      <c r="K21" s="110"/>
      <c r="L21" s="110"/>
      <c r="M21" s="110"/>
      <c r="N21" s="110"/>
      <c r="O21" s="110"/>
      <c r="P21" s="110"/>
      <c r="Q21" s="110"/>
      <c r="R21" s="110"/>
      <c r="S21" s="110"/>
      <c r="T21" s="110"/>
      <c r="U21" s="110"/>
      <c r="V21" s="110"/>
      <c r="W21" s="110"/>
      <c r="X21" s="122"/>
      <c r="Y21" s="122"/>
      <c r="Z21" s="122"/>
      <c r="AA21" s="122"/>
      <c r="AB21" s="122"/>
      <c r="AC21" s="122"/>
      <c r="AD21" s="122"/>
      <c r="AE21" s="122"/>
      <c r="AF21" s="122"/>
      <c r="AG21" s="122"/>
      <c r="AH21" s="122"/>
      <c r="AI21" s="122"/>
      <c r="AJ21" s="122"/>
      <c r="AK21" s="122"/>
      <c r="AL21" s="122"/>
      <c r="AM21" s="122"/>
      <c r="AN21" s="122"/>
      <c r="AO21" s="122"/>
      <c r="AP21" s="122"/>
      <c r="AQ21" s="122"/>
      <c r="AR21" s="122"/>
    </row>
    <row r="22" spans="1:44" ht="27" customHeight="1">
      <c r="A22" s="111" t="s">
        <v>190</v>
      </c>
      <c r="B22" s="20" t="s">
        <v>191</v>
      </c>
      <c r="C22" s="105"/>
      <c r="D22" s="105"/>
      <c r="E22" s="105"/>
      <c r="F22" s="105"/>
      <c r="G22" s="105"/>
      <c r="H22" s="105"/>
      <c r="I22" s="106"/>
      <c r="J22" s="106"/>
      <c r="K22" s="106"/>
      <c r="L22" s="106"/>
      <c r="M22" s="106"/>
      <c r="N22" s="106"/>
      <c r="O22" s="106"/>
      <c r="P22" s="106"/>
      <c r="Q22" s="106"/>
      <c r="R22" s="106"/>
      <c r="S22" s="106"/>
      <c r="T22" s="106"/>
      <c r="U22" s="106"/>
      <c r="V22" s="106"/>
      <c r="W22" s="106"/>
      <c r="X22" s="121"/>
      <c r="Y22" s="121"/>
      <c r="Z22" s="121"/>
      <c r="AA22" s="121"/>
      <c r="AB22" s="121"/>
      <c r="AC22" s="121"/>
      <c r="AD22" s="121"/>
      <c r="AE22" s="121"/>
      <c r="AF22" s="121"/>
      <c r="AG22" s="121"/>
      <c r="AH22" s="121"/>
      <c r="AI22" s="121"/>
      <c r="AJ22" s="121"/>
      <c r="AK22" s="121"/>
      <c r="AL22" s="121"/>
      <c r="AM22" s="121"/>
      <c r="AN22" s="121"/>
      <c r="AO22" s="121"/>
      <c r="AP22" s="121"/>
      <c r="AQ22" s="121"/>
      <c r="AR22" s="121"/>
    </row>
    <row r="23" spans="1:44" ht="27" customHeight="1">
      <c r="A23" s="111" t="s">
        <v>192</v>
      </c>
      <c r="B23" s="189" t="s">
        <v>193</v>
      </c>
      <c r="C23" s="105"/>
      <c r="D23" s="105"/>
      <c r="E23" s="105"/>
      <c r="F23" s="105"/>
      <c r="G23" s="105"/>
      <c r="H23" s="105"/>
      <c r="I23" s="106"/>
      <c r="J23" s="106"/>
      <c r="K23" s="106"/>
      <c r="L23" s="106"/>
      <c r="M23" s="106"/>
      <c r="N23" s="106"/>
      <c r="O23" s="106"/>
      <c r="P23" s="106"/>
      <c r="Q23" s="106"/>
      <c r="R23" s="106"/>
      <c r="S23" s="106"/>
      <c r="T23" s="106"/>
      <c r="U23" s="106"/>
      <c r="V23" s="106"/>
      <c r="W23" s="106"/>
      <c r="X23" s="121"/>
      <c r="Y23" s="121"/>
      <c r="Z23" s="121"/>
      <c r="AA23" s="121"/>
      <c r="AB23" s="121"/>
      <c r="AC23" s="121"/>
      <c r="AD23" s="121"/>
      <c r="AE23" s="121"/>
      <c r="AF23" s="121"/>
      <c r="AG23" s="121"/>
      <c r="AH23" s="121"/>
      <c r="AI23" s="121"/>
      <c r="AJ23" s="121"/>
      <c r="AK23" s="121"/>
      <c r="AL23" s="121"/>
      <c r="AM23" s="121"/>
      <c r="AN23" s="121"/>
      <c r="AO23" s="121"/>
      <c r="AP23" s="121"/>
      <c r="AQ23" s="121"/>
      <c r="AR23" s="121"/>
    </row>
    <row r="24" spans="1:44" s="94" customFormat="1" ht="40.5" customHeight="1">
      <c r="A24" s="15" t="s">
        <v>32</v>
      </c>
      <c r="B24" s="104" t="s">
        <v>201</v>
      </c>
      <c r="C24" s="112"/>
      <c r="D24" s="112"/>
      <c r="E24" s="112"/>
      <c r="F24" s="112"/>
      <c r="G24" s="112"/>
      <c r="H24" s="112"/>
      <c r="I24" s="113"/>
      <c r="J24" s="113"/>
      <c r="K24" s="113"/>
      <c r="L24" s="113"/>
      <c r="M24" s="113"/>
      <c r="N24" s="113"/>
      <c r="O24" s="113"/>
      <c r="P24" s="113"/>
      <c r="Q24" s="113"/>
      <c r="R24" s="113"/>
      <c r="S24" s="113"/>
      <c r="T24" s="113"/>
      <c r="U24" s="113"/>
      <c r="V24" s="113"/>
      <c r="W24" s="113"/>
      <c r="X24" s="123"/>
      <c r="Y24" s="123"/>
      <c r="Z24" s="123"/>
      <c r="AA24" s="123"/>
      <c r="AB24" s="123"/>
      <c r="AC24" s="123"/>
      <c r="AD24" s="123"/>
      <c r="AE24" s="123"/>
      <c r="AF24" s="123"/>
      <c r="AG24" s="123"/>
      <c r="AH24" s="123"/>
      <c r="AI24" s="123"/>
      <c r="AJ24" s="123"/>
      <c r="AK24" s="123"/>
      <c r="AL24" s="123"/>
      <c r="AM24" s="123"/>
      <c r="AN24" s="123"/>
      <c r="AO24" s="123"/>
      <c r="AP24" s="123"/>
      <c r="AQ24" s="123"/>
      <c r="AR24" s="123"/>
    </row>
    <row r="25" spans="1:44" s="95" customFormat="1" ht="78" customHeight="1">
      <c r="A25" s="107" t="s">
        <v>188</v>
      </c>
      <c r="B25" s="190" t="s">
        <v>515</v>
      </c>
      <c r="C25" s="114"/>
      <c r="D25" s="114"/>
      <c r="E25" s="114"/>
      <c r="F25" s="114"/>
      <c r="G25" s="114"/>
      <c r="H25" s="114"/>
      <c r="I25" s="115"/>
      <c r="J25" s="115"/>
      <c r="K25" s="115"/>
      <c r="L25" s="115"/>
      <c r="M25" s="115"/>
      <c r="N25" s="115"/>
      <c r="O25" s="115"/>
      <c r="P25" s="115"/>
      <c r="Q25" s="115"/>
      <c r="R25" s="115"/>
      <c r="S25" s="115"/>
      <c r="T25" s="115"/>
      <c r="U25" s="115"/>
      <c r="V25" s="115"/>
      <c r="W25" s="115"/>
      <c r="X25" s="124"/>
      <c r="Y25" s="124"/>
      <c r="Z25" s="124"/>
      <c r="AA25" s="124"/>
      <c r="AB25" s="124"/>
      <c r="AC25" s="124"/>
      <c r="AD25" s="124"/>
      <c r="AE25" s="124"/>
      <c r="AF25" s="124"/>
      <c r="AG25" s="124"/>
      <c r="AH25" s="124"/>
      <c r="AI25" s="124"/>
      <c r="AJ25" s="124"/>
      <c r="AK25" s="124"/>
      <c r="AL25" s="124"/>
      <c r="AM25" s="124"/>
      <c r="AN25" s="124"/>
      <c r="AO25" s="124"/>
      <c r="AP25" s="124"/>
      <c r="AQ25" s="124"/>
      <c r="AR25" s="124"/>
    </row>
    <row r="26" spans="1:44" ht="27" customHeight="1">
      <c r="A26" s="111" t="s">
        <v>190</v>
      </c>
      <c r="B26" s="20" t="s">
        <v>191</v>
      </c>
      <c r="C26" s="105"/>
      <c r="D26" s="105"/>
      <c r="E26" s="105"/>
      <c r="F26" s="105"/>
      <c r="G26" s="105"/>
      <c r="H26" s="105"/>
      <c r="I26" s="106"/>
      <c r="J26" s="106"/>
      <c r="K26" s="106"/>
      <c r="L26" s="106"/>
      <c r="M26" s="106"/>
      <c r="N26" s="106"/>
      <c r="O26" s="106"/>
      <c r="P26" s="106"/>
      <c r="Q26" s="106"/>
      <c r="R26" s="106"/>
      <c r="S26" s="106"/>
      <c r="T26" s="106"/>
      <c r="U26" s="106"/>
      <c r="V26" s="106"/>
      <c r="W26" s="106"/>
      <c r="X26" s="121"/>
      <c r="Y26" s="121"/>
      <c r="Z26" s="121"/>
      <c r="AA26" s="121"/>
      <c r="AB26" s="121"/>
      <c r="AC26" s="121"/>
      <c r="AD26" s="121"/>
      <c r="AE26" s="121"/>
      <c r="AF26" s="121"/>
      <c r="AG26" s="121"/>
      <c r="AH26" s="121"/>
      <c r="AI26" s="121"/>
      <c r="AJ26" s="121"/>
      <c r="AK26" s="121"/>
      <c r="AL26" s="121"/>
      <c r="AM26" s="121"/>
      <c r="AN26" s="121"/>
      <c r="AO26" s="121"/>
      <c r="AP26" s="121"/>
      <c r="AQ26" s="121"/>
      <c r="AR26" s="121"/>
    </row>
    <row r="27" spans="1:44" ht="27" customHeight="1">
      <c r="A27" s="111" t="s">
        <v>192</v>
      </c>
      <c r="B27" s="189" t="s">
        <v>193</v>
      </c>
      <c r="C27" s="105"/>
      <c r="D27" s="105"/>
      <c r="E27" s="105"/>
      <c r="F27" s="105"/>
      <c r="G27" s="105"/>
      <c r="H27" s="105"/>
      <c r="I27" s="106"/>
      <c r="J27" s="106"/>
      <c r="K27" s="106"/>
      <c r="L27" s="106"/>
      <c r="M27" s="106"/>
      <c r="N27" s="106"/>
      <c r="O27" s="106"/>
      <c r="P27" s="106"/>
      <c r="Q27" s="106"/>
      <c r="R27" s="106"/>
      <c r="S27" s="106"/>
      <c r="T27" s="106"/>
      <c r="U27" s="106"/>
      <c r="V27" s="106"/>
      <c r="W27" s="106"/>
      <c r="X27" s="121"/>
      <c r="Y27" s="121"/>
      <c r="Z27" s="121"/>
      <c r="AA27" s="121"/>
      <c r="AB27" s="121"/>
      <c r="AC27" s="121"/>
      <c r="AD27" s="121"/>
      <c r="AE27" s="121"/>
      <c r="AF27" s="121"/>
      <c r="AG27" s="121"/>
      <c r="AH27" s="121"/>
      <c r="AI27" s="121"/>
      <c r="AJ27" s="121"/>
      <c r="AK27" s="121"/>
      <c r="AL27" s="121"/>
      <c r="AM27" s="121"/>
      <c r="AN27" s="121"/>
      <c r="AO27" s="121"/>
      <c r="AP27" s="121"/>
      <c r="AQ27" s="121"/>
      <c r="AR27" s="121"/>
    </row>
    <row r="28" spans="1:44" s="93" customFormat="1" ht="40.5" customHeight="1">
      <c r="A28" s="107" t="s">
        <v>194</v>
      </c>
      <c r="B28" s="190" t="s">
        <v>516</v>
      </c>
      <c r="C28" s="109"/>
      <c r="D28" s="109"/>
      <c r="E28" s="109"/>
      <c r="F28" s="109"/>
      <c r="G28" s="109"/>
      <c r="H28" s="109"/>
      <c r="I28" s="110"/>
      <c r="J28" s="110"/>
      <c r="K28" s="110"/>
      <c r="L28" s="110"/>
      <c r="M28" s="110"/>
      <c r="N28" s="110"/>
      <c r="O28" s="110"/>
      <c r="P28" s="110"/>
      <c r="Q28" s="110"/>
      <c r="R28" s="110"/>
      <c r="S28" s="110"/>
      <c r="T28" s="110"/>
      <c r="U28" s="110"/>
      <c r="V28" s="110"/>
      <c r="W28" s="110"/>
      <c r="X28" s="122"/>
      <c r="Y28" s="122"/>
      <c r="Z28" s="122"/>
      <c r="AA28" s="122"/>
      <c r="AB28" s="122"/>
      <c r="AC28" s="122"/>
      <c r="AD28" s="122"/>
      <c r="AE28" s="122"/>
      <c r="AF28" s="122"/>
      <c r="AG28" s="122"/>
      <c r="AH28" s="122"/>
      <c r="AI28" s="122"/>
      <c r="AJ28" s="122"/>
      <c r="AK28" s="122"/>
      <c r="AL28" s="122"/>
      <c r="AM28" s="122"/>
      <c r="AN28" s="122"/>
      <c r="AO28" s="122"/>
      <c r="AP28" s="122"/>
      <c r="AQ28" s="122"/>
      <c r="AR28" s="122"/>
    </row>
    <row r="29" spans="1:44" ht="27" customHeight="1">
      <c r="A29" s="111" t="s">
        <v>190</v>
      </c>
      <c r="B29" s="20" t="s">
        <v>191</v>
      </c>
      <c r="C29" s="105"/>
      <c r="D29" s="105"/>
      <c r="E29" s="105"/>
      <c r="F29" s="105"/>
      <c r="G29" s="105"/>
      <c r="H29" s="105"/>
      <c r="I29" s="106"/>
      <c r="J29" s="106"/>
      <c r="K29" s="106"/>
      <c r="L29" s="106"/>
      <c r="M29" s="106"/>
      <c r="N29" s="106"/>
      <c r="O29" s="106"/>
      <c r="P29" s="106"/>
      <c r="Q29" s="106"/>
      <c r="R29" s="106"/>
      <c r="S29" s="106"/>
      <c r="T29" s="106"/>
      <c r="U29" s="106"/>
      <c r="V29" s="106"/>
      <c r="W29" s="106"/>
      <c r="X29" s="121"/>
      <c r="Y29" s="121"/>
      <c r="Z29" s="121"/>
      <c r="AA29" s="121"/>
      <c r="AB29" s="121"/>
      <c r="AC29" s="121"/>
      <c r="AD29" s="121"/>
      <c r="AE29" s="121"/>
      <c r="AF29" s="121"/>
      <c r="AG29" s="121"/>
      <c r="AH29" s="121"/>
      <c r="AI29" s="121"/>
      <c r="AJ29" s="121"/>
      <c r="AK29" s="121"/>
      <c r="AL29" s="121"/>
      <c r="AM29" s="121"/>
      <c r="AN29" s="121"/>
      <c r="AO29" s="121"/>
      <c r="AP29" s="121"/>
      <c r="AQ29" s="121"/>
      <c r="AR29" s="121"/>
    </row>
    <row r="30" spans="1:44" ht="27" customHeight="1">
      <c r="A30" s="111" t="s">
        <v>192</v>
      </c>
      <c r="B30" s="189" t="s">
        <v>193</v>
      </c>
      <c r="C30" s="105"/>
      <c r="D30" s="105"/>
      <c r="E30" s="105"/>
      <c r="F30" s="105"/>
      <c r="G30" s="105"/>
      <c r="H30" s="105"/>
      <c r="I30" s="106"/>
      <c r="J30" s="106"/>
      <c r="K30" s="106"/>
      <c r="L30" s="106"/>
      <c r="M30" s="106"/>
      <c r="N30" s="106"/>
      <c r="O30" s="106"/>
      <c r="P30" s="106"/>
      <c r="Q30" s="106"/>
      <c r="R30" s="106"/>
      <c r="S30" s="106"/>
      <c r="T30" s="106"/>
      <c r="U30" s="106"/>
      <c r="V30" s="106"/>
      <c r="W30" s="106"/>
      <c r="X30" s="121"/>
      <c r="Y30" s="121"/>
      <c r="Z30" s="121"/>
      <c r="AA30" s="121"/>
      <c r="AB30" s="121"/>
      <c r="AC30" s="121"/>
      <c r="AD30" s="121"/>
      <c r="AE30" s="121"/>
      <c r="AF30" s="121"/>
      <c r="AG30" s="121"/>
      <c r="AH30" s="121"/>
      <c r="AI30" s="121"/>
      <c r="AJ30" s="121"/>
      <c r="AK30" s="121"/>
      <c r="AL30" s="121"/>
      <c r="AM30" s="121"/>
      <c r="AN30" s="121"/>
      <c r="AO30" s="121"/>
      <c r="AP30" s="121"/>
      <c r="AQ30" s="121"/>
      <c r="AR30" s="121"/>
    </row>
    <row r="31" spans="1:44" s="131" customFormat="1" ht="27" customHeight="1">
      <c r="A31" s="15" t="s">
        <v>109</v>
      </c>
      <c r="B31" s="17" t="s">
        <v>514</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s="131" customFormat="1" ht="27" customHeight="1">
      <c r="A32" s="111"/>
      <c r="B32" s="20" t="s">
        <v>206</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s="131" customFormat="1" ht="10.15" customHeight="1">
      <c r="A33" s="2"/>
      <c r="B33" s="136"/>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s="96" customFormat="1" ht="26.25" customHeight="1">
      <c r="A34" s="117"/>
      <c r="B34" s="1294" t="s">
        <v>208</v>
      </c>
      <c r="C34" s="1294"/>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c r="AL34" s="1294"/>
      <c r="AM34" s="1294"/>
      <c r="AN34" s="1294"/>
      <c r="AO34" s="1294"/>
      <c r="AP34" s="1294"/>
      <c r="AQ34" s="1294"/>
      <c r="AR34" s="1294"/>
    </row>
    <row r="35" spans="1:44" s="96" customFormat="1" ht="72" customHeight="1">
      <c r="A35" s="117"/>
      <c r="B35" s="1295" t="s">
        <v>517</v>
      </c>
      <c r="C35" s="1296"/>
      <c r="D35" s="1296"/>
      <c r="E35" s="1296"/>
      <c r="F35" s="1296"/>
      <c r="G35" s="1296"/>
      <c r="H35" s="1296"/>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6"/>
      <c r="AR35" s="1296"/>
    </row>
    <row r="36" spans="1:44" s="96" customFormat="1" ht="21.75" customHeight="1">
      <c r="A36" s="117"/>
      <c r="B36" s="1297" t="s">
        <v>518</v>
      </c>
      <c r="C36" s="1297"/>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7"/>
      <c r="AA36" s="1297"/>
      <c r="AB36" s="1297"/>
      <c r="AC36" s="1297"/>
      <c r="AD36" s="1297"/>
      <c r="AE36" s="1297"/>
      <c r="AF36" s="1297"/>
      <c r="AG36" s="1297"/>
      <c r="AH36" s="1297"/>
      <c r="AI36" s="1297"/>
      <c r="AJ36" s="1297"/>
      <c r="AK36" s="1297"/>
      <c r="AL36" s="1297"/>
      <c r="AM36" s="1297"/>
      <c r="AN36" s="1297"/>
      <c r="AO36" s="1297"/>
      <c r="AP36" s="1297"/>
      <c r="AQ36" s="1297"/>
      <c r="AR36" s="1297"/>
    </row>
    <row r="37" spans="1:44" s="96" customFormat="1" ht="62.45" customHeight="1">
      <c r="A37" s="117"/>
      <c r="B37" s="1247" t="s">
        <v>519</v>
      </c>
      <c r="C37" s="1248"/>
      <c r="D37" s="1248"/>
      <c r="E37" s="1248"/>
      <c r="F37" s="1248"/>
      <c r="G37" s="1248"/>
      <c r="H37" s="1248"/>
      <c r="I37" s="1248"/>
      <c r="J37" s="1248"/>
      <c r="K37" s="1248"/>
      <c r="L37" s="1248"/>
      <c r="M37" s="1248"/>
      <c r="N37" s="1248"/>
      <c r="O37" s="1248"/>
      <c r="P37" s="1248"/>
      <c r="Q37" s="1248"/>
      <c r="R37" s="1248"/>
      <c r="S37" s="1248"/>
      <c r="T37" s="1248"/>
      <c r="U37" s="1248"/>
      <c r="V37" s="1248"/>
      <c r="W37" s="1248"/>
      <c r="X37" s="1248"/>
      <c r="Y37" s="1248"/>
      <c r="Z37" s="1248"/>
      <c r="AA37" s="1248"/>
      <c r="AB37" s="1248"/>
      <c r="AC37" s="1248"/>
      <c r="AD37" s="1248"/>
      <c r="AE37" s="1248"/>
      <c r="AF37" s="1248"/>
      <c r="AG37" s="1248"/>
      <c r="AH37" s="1248"/>
      <c r="AI37" s="1248"/>
      <c r="AJ37" s="1248"/>
      <c r="AK37" s="1248"/>
      <c r="AL37" s="1248"/>
      <c r="AM37" s="1248"/>
      <c r="AN37" s="1248"/>
      <c r="AO37" s="1248"/>
      <c r="AP37" s="1248"/>
      <c r="AQ37" s="1248"/>
      <c r="AR37" s="1248"/>
    </row>
    <row r="38" spans="1:44" ht="20.25">
      <c r="A38" s="92"/>
      <c r="B38" s="192" t="s">
        <v>520</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row>
    <row r="39" spans="1:44">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row>
    <row r="40" spans="1:44">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row>
    <row r="41" spans="1:44">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row>
    <row r="42" spans="1:44">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row>
    <row r="43" spans="1:44">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row>
    <row r="44" spans="1:44">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row>
    <row r="45" spans="1:44">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row>
    <row r="46" spans="1:44">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row>
    <row r="47" spans="1:44">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row>
    <row r="48" spans="1:44">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row>
    <row r="49" s="92" customFormat="1"/>
    <row r="50" s="92" customFormat="1"/>
    <row r="51" s="92" customFormat="1"/>
    <row r="52" s="92" customFormat="1"/>
    <row r="53" s="92" customFormat="1"/>
    <row r="54" s="92" customFormat="1"/>
    <row r="55" s="92" customFormat="1"/>
    <row r="56" s="92" customFormat="1"/>
    <row r="57" s="92" customFormat="1"/>
    <row r="58" s="92" customFormat="1"/>
    <row r="59" s="92" customFormat="1"/>
    <row r="60" s="92" customFormat="1"/>
    <row r="61" s="92" customFormat="1"/>
    <row r="62" s="92" customFormat="1"/>
    <row r="63" s="92" customFormat="1"/>
    <row r="64" s="92" customFormat="1"/>
    <row r="65" s="92" customFormat="1"/>
    <row r="66" s="92" customFormat="1"/>
    <row r="67" s="92" customFormat="1"/>
    <row r="68" s="92" customFormat="1"/>
    <row r="69" s="92" customFormat="1"/>
    <row r="70" s="92" customFormat="1"/>
    <row r="71" s="92" customFormat="1"/>
    <row r="72" s="92" customFormat="1"/>
    <row r="73" s="92" customFormat="1"/>
    <row r="74" s="92" customFormat="1"/>
    <row r="75" s="92" customFormat="1"/>
    <row r="76" s="92" customFormat="1"/>
    <row r="77" s="92" customFormat="1"/>
    <row r="78" s="92" customFormat="1"/>
    <row r="79" s="92" customFormat="1"/>
    <row r="80" s="92" customFormat="1"/>
    <row r="81" s="92" customFormat="1"/>
    <row r="82" s="92" customFormat="1"/>
    <row r="83" s="92" customFormat="1"/>
    <row r="84" s="92" customFormat="1"/>
    <row r="85" s="92" customFormat="1"/>
    <row r="86" s="92" customFormat="1"/>
    <row r="87" s="92" customFormat="1"/>
    <row r="88" s="92" customFormat="1"/>
    <row r="89" s="92" customFormat="1"/>
    <row r="90" s="92" customFormat="1"/>
    <row r="91" s="92" customFormat="1"/>
    <row r="92" s="92" customFormat="1"/>
    <row r="93" s="92" customFormat="1"/>
    <row r="94" s="92" customFormat="1"/>
    <row r="95" s="92" customFormat="1"/>
    <row r="96" s="92" customFormat="1"/>
    <row r="97" s="92" customFormat="1"/>
    <row r="98" s="92" customFormat="1"/>
    <row r="99" s="92" customFormat="1"/>
    <row r="100" s="92" customFormat="1"/>
    <row r="101" s="92" customFormat="1"/>
    <row r="102" s="92" customFormat="1"/>
    <row r="103" s="92" customFormat="1"/>
    <row r="104" s="92" customFormat="1"/>
    <row r="105" s="92" customFormat="1"/>
    <row r="106" s="92" customFormat="1"/>
    <row r="107" s="92" customFormat="1"/>
    <row r="108" s="92" customFormat="1"/>
    <row r="109" s="92" customFormat="1"/>
    <row r="110" s="92" customFormat="1"/>
    <row r="111" s="92" customFormat="1"/>
    <row r="112" s="92" customFormat="1"/>
    <row r="113" s="92" customFormat="1"/>
    <row r="114" s="92" customFormat="1"/>
    <row r="115" s="92" customFormat="1"/>
    <row r="116" s="92" customFormat="1"/>
    <row r="117" s="92" customFormat="1"/>
    <row r="118" s="92" customFormat="1"/>
    <row r="119" s="92" customFormat="1"/>
    <row r="120" s="92" customFormat="1"/>
    <row r="121" s="92" customFormat="1"/>
    <row r="122" s="92" customFormat="1"/>
    <row r="123" s="92" customFormat="1"/>
    <row r="124" s="92" customFormat="1"/>
    <row r="125" s="92" customFormat="1"/>
    <row r="126" s="92" customFormat="1"/>
    <row r="127" s="92" customFormat="1"/>
    <row r="128" s="92" customFormat="1"/>
    <row r="129" s="92" customFormat="1"/>
    <row r="130" s="92" customFormat="1"/>
    <row r="131" s="92" customFormat="1"/>
    <row r="132" s="92" customFormat="1"/>
    <row r="133" s="92" customFormat="1"/>
    <row r="134" s="92" customFormat="1"/>
    <row r="135" s="92" customFormat="1"/>
    <row r="136" s="92" customFormat="1"/>
    <row r="137" s="92" customFormat="1"/>
    <row r="138" s="92" customFormat="1"/>
    <row r="139" s="92" customFormat="1"/>
    <row r="140" s="92" customFormat="1"/>
    <row r="141" s="92" customFormat="1"/>
    <row r="142" s="92" customFormat="1"/>
    <row r="143" s="92" customFormat="1"/>
    <row r="144" s="92" customFormat="1"/>
    <row r="145" s="92" customFormat="1"/>
    <row r="146" s="92" customFormat="1"/>
    <row r="147" s="92" customFormat="1"/>
    <row r="148" s="92" customFormat="1"/>
    <row r="149" s="92" customFormat="1"/>
    <row r="150" s="92" customFormat="1"/>
    <row r="151" s="92" customFormat="1"/>
    <row r="152" s="92" customFormat="1"/>
    <row r="153" s="92" customFormat="1"/>
    <row r="154" s="92" customFormat="1"/>
    <row r="155" s="92" customFormat="1"/>
    <row r="156" s="92" customFormat="1"/>
    <row r="157" s="92" customFormat="1"/>
    <row r="158" s="92" customFormat="1"/>
    <row r="159" s="92" customFormat="1"/>
    <row r="160" s="92" customFormat="1"/>
    <row r="161" s="92" customFormat="1"/>
    <row r="162" s="92" customFormat="1"/>
    <row r="163" s="92" customFormat="1"/>
    <row r="164" s="92" customFormat="1"/>
    <row r="165" s="92" customFormat="1"/>
    <row r="166" s="92" customFormat="1"/>
    <row r="167" s="92" customFormat="1"/>
    <row r="168" s="92" customFormat="1"/>
    <row r="169" s="92" customFormat="1"/>
    <row r="170" s="92" customFormat="1"/>
    <row r="171" s="92" customFormat="1"/>
    <row r="172" s="92" customFormat="1"/>
    <row r="173" s="92" customFormat="1"/>
    <row r="174" s="92" customFormat="1"/>
    <row r="175" s="92" customFormat="1"/>
    <row r="176" s="92" customFormat="1"/>
    <row r="177" s="92" customFormat="1"/>
    <row r="178" s="92" customFormat="1"/>
    <row r="179" s="92" customFormat="1"/>
    <row r="180" s="92" customFormat="1"/>
    <row r="181" s="92" customFormat="1"/>
    <row r="182" s="92" customFormat="1"/>
    <row r="183" s="92" customFormat="1"/>
    <row r="184" s="92" customFormat="1"/>
    <row r="185" s="92" customFormat="1"/>
    <row r="186" s="92" customFormat="1"/>
    <row r="187" s="92" customFormat="1"/>
    <row r="188" s="92" customFormat="1"/>
    <row r="189" s="92" customFormat="1"/>
    <row r="190" s="92" customFormat="1"/>
    <row r="191" s="92" customFormat="1"/>
    <row r="192" s="92" customFormat="1"/>
    <row r="193" s="92" customFormat="1"/>
    <row r="194" s="92" customFormat="1"/>
    <row r="195" s="92" customFormat="1"/>
    <row r="196" s="92" customFormat="1"/>
    <row r="197" s="92" customFormat="1"/>
    <row r="198" s="92" customFormat="1"/>
    <row r="199" s="92" customFormat="1"/>
    <row r="200" s="92" customFormat="1"/>
    <row r="201" s="92" customFormat="1"/>
    <row r="202" s="92" customFormat="1"/>
    <row r="203" s="92" customFormat="1"/>
    <row r="204" s="92" customFormat="1"/>
    <row r="205" s="92" customFormat="1"/>
    <row r="206" s="92" customFormat="1"/>
    <row r="207" s="92" customFormat="1"/>
    <row r="208" s="92" customFormat="1"/>
    <row r="209" s="92" customFormat="1"/>
    <row r="210" s="92" customFormat="1"/>
    <row r="211" s="92" customFormat="1"/>
    <row r="212" s="92" customFormat="1"/>
    <row r="213" s="92" customFormat="1"/>
    <row r="214" s="92" customFormat="1"/>
    <row r="215" s="92" customFormat="1"/>
    <row r="216" s="92" customFormat="1"/>
    <row r="217" s="92" customFormat="1"/>
    <row r="218" s="92" customFormat="1"/>
    <row r="219" s="92" customFormat="1"/>
    <row r="220" s="92" customFormat="1"/>
    <row r="221" s="92" customFormat="1"/>
    <row r="222" s="92" customFormat="1"/>
    <row r="223" s="92" customFormat="1"/>
    <row r="224" s="92" customFormat="1"/>
    <row r="225" s="92" customFormat="1"/>
    <row r="226" s="92" customFormat="1"/>
    <row r="227" s="92" customFormat="1"/>
    <row r="228" s="92" customFormat="1"/>
    <row r="229" s="92" customFormat="1"/>
    <row r="230" s="92" customFormat="1"/>
    <row r="231" s="92" customFormat="1"/>
    <row r="232" s="92" customFormat="1"/>
    <row r="233" s="92" customFormat="1"/>
    <row r="234" s="92" customFormat="1"/>
    <row r="235" s="92" customFormat="1"/>
    <row r="236" s="92" customFormat="1"/>
    <row r="237" s="92" customFormat="1"/>
    <row r="238" s="92" customFormat="1"/>
    <row r="239" s="92" customFormat="1"/>
    <row r="240" s="92" customFormat="1"/>
    <row r="241" s="92" customFormat="1"/>
    <row r="242" s="92" customFormat="1"/>
    <row r="243" s="92" customFormat="1"/>
    <row r="244" s="92" customFormat="1"/>
    <row r="245" s="92" customFormat="1"/>
    <row r="246" s="92" customFormat="1"/>
    <row r="247" s="92" customFormat="1"/>
    <row r="248" s="92" customFormat="1"/>
    <row r="249" s="92" customFormat="1"/>
    <row r="250" s="92" customFormat="1"/>
    <row r="251" s="92" customFormat="1"/>
    <row r="252" s="92" customFormat="1"/>
    <row r="253" s="92" customFormat="1"/>
    <row r="254" s="92" customFormat="1"/>
    <row r="255" s="92" customFormat="1"/>
    <row r="256" s="92" customFormat="1"/>
    <row r="257" s="92" customFormat="1"/>
    <row r="258" s="92" customFormat="1"/>
    <row r="259" s="92" customFormat="1"/>
    <row r="260" s="92" customFormat="1"/>
    <row r="261" s="92" customFormat="1"/>
    <row r="262" s="92" customFormat="1"/>
    <row r="263" s="92" customFormat="1"/>
    <row r="264" s="92" customFormat="1"/>
    <row r="265" s="92" customFormat="1"/>
    <row r="266" s="92" customFormat="1"/>
    <row r="267" s="92" customFormat="1"/>
    <row r="268" s="92" customFormat="1"/>
    <row r="269" s="92" customFormat="1"/>
    <row r="270" s="92" customFormat="1"/>
    <row r="271" s="92" customFormat="1"/>
    <row r="272" s="92" customFormat="1"/>
    <row r="273" s="92" customFormat="1"/>
    <row r="274" s="92" customFormat="1"/>
    <row r="275" s="92" customFormat="1"/>
    <row r="276" s="92" customFormat="1"/>
    <row r="277" s="92" customFormat="1"/>
    <row r="278" s="92" customFormat="1"/>
    <row r="279" s="92" customFormat="1"/>
    <row r="280" s="92" customFormat="1"/>
    <row r="281" s="92" customFormat="1"/>
    <row r="282" s="92" customFormat="1"/>
    <row r="283" s="92" customFormat="1"/>
    <row r="284" s="92" customFormat="1"/>
    <row r="285" s="92" customFormat="1"/>
    <row r="286" s="92" customFormat="1"/>
    <row r="287" s="92" customFormat="1"/>
    <row r="288" s="92" customFormat="1"/>
    <row r="289" s="92" customFormat="1"/>
    <row r="290" s="92" customFormat="1"/>
    <row r="291" s="92" customFormat="1"/>
    <row r="292" s="92" customFormat="1"/>
    <row r="293" s="92" customFormat="1"/>
    <row r="294" s="92" customFormat="1"/>
    <row r="295" s="92" customFormat="1"/>
    <row r="296" s="92" customFormat="1"/>
    <row r="297" s="92" customFormat="1"/>
    <row r="298" s="92" customFormat="1"/>
    <row r="299" s="92" customFormat="1"/>
    <row r="300" s="92" customFormat="1"/>
    <row r="301" s="92" customFormat="1"/>
    <row r="302" s="92" customFormat="1"/>
    <row r="303" s="92" customFormat="1"/>
    <row r="304" s="92" customFormat="1"/>
    <row r="305" s="92" customFormat="1"/>
    <row r="306" s="92" customFormat="1"/>
    <row r="307" s="92" customFormat="1"/>
    <row r="308" s="92" customFormat="1"/>
    <row r="309" s="92" customFormat="1"/>
    <row r="310" s="92" customFormat="1"/>
    <row r="311" s="92" customFormat="1"/>
    <row r="312" s="92" customFormat="1"/>
    <row r="313" s="92" customFormat="1"/>
    <row r="314" s="92" customFormat="1"/>
    <row r="315" s="92" customFormat="1"/>
    <row r="316" s="92" customFormat="1"/>
    <row r="317" s="92" customFormat="1"/>
    <row r="318" s="92" customFormat="1"/>
    <row r="319" s="92" customFormat="1"/>
    <row r="320" s="92" customFormat="1"/>
    <row r="321" s="92" customFormat="1"/>
    <row r="322" s="92" customFormat="1"/>
    <row r="323" s="92" customFormat="1"/>
    <row r="324" s="92" customFormat="1"/>
    <row r="325" s="92" customFormat="1"/>
  </sheetData>
  <mergeCells count="80">
    <mergeCell ref="A1:M1"/>
    <mergeCell ref="AH1:AR1"/>
    <mergeCell ref="A2:M2"/>
    <mergeCell ref="AH2:AR2"/>
    <mergeCell ref="A3:AR3"/>
    <mergeCell ref="A4:AR4"/>
    <mergeCell ref="A5:AR5"/>
    <mergeCell ref="H6:P6"/>
    <mergeCell ref="Q6:W6"/>
    <mergeCell ref="X6:AC6"/>
    <mergeCell ref="AD6:AI6"/>
    <mergeCell ref="AJ6:AQ6"/>
    <mergeCell ref="A6:A13"/>
    <mergeCell ref="Y10:Y13"/>
    <mergeCell ref="Z10:Z13"/>
    <mergeCell ref="AA10:AA13"/>
    <mergeCell ref="AB10:AB13"/>
    <mergeCell ref="AN10:AN13"/>
    <mergeCell ref="AO9:AO13"/>
    <mergeCell ref="AP10:AP13"/>
    <mergeCell ref="AQ10:AQ13"/>
    <mergeCell ref="AO8:AQ8"/>
    <mergeCell ref="AC8:AC13"/>
    <mergeCell ref="AD7:AD13"/>
    <mergeCell ref="AE9:AE13"/>
    <mergeCell ref="AF10:AF13"/>
    <mergeCell ref="AG10:AG13"/>
    <mergeCell ref="AH10:AH13"/>
    <mergeCell ref="AI8:AI13"/>
    <mergeCell ref="AJ7:AJ13"/>
    <mergeCell ref="AK9:AK13"/>
    <mergeCell ref="AL10:AL13"/>
    <mergeCell ref="AM10:AM13"/>
    <mergeCell ref="Y7:AC7"/>
    <mergeCell ref="AE7:AI7"/>
    <mergeCell ref="AK7:AQ7"/>
    <mergeCell ref="X7:X13"/>
    <mergeCell ref="J8:P8"/>
    <mergeCell ref="S8:W8"/>
    <mergeCell ref="AE8:AH8"/>
    <mergeCell ref="AK8:AN8"/>
    <mergeCell ref="I7:P7"/>
    <mergeCell ref="R7:W7"/>
    <mergeCell ref="S11:S13"/>
    <mergeCell ref="T12:T13"/>
    <mergeCell ref="U12:U13"/>
    <mergeCell ref="V11:V13"/>
    <mergeCell ref="W11:W13"/>
    <mergeCell ref="B34:AR34"/>
    <mergeCell ref="B35:AR35"/>
    <mergeCell ref="B36:AR36"/>
    <mergeCell ref="B37:AR37"/>
    <mergeCell ref="B6:B13"/>
    <mergeCell ref="C6:C13"/>
    <mergeCell ref="D6:D13"/>
    <mergeCell ref="E6:E13"/>
    <mergeCell ref="F6:F13"/>
    <mergeCell ref="G6:G13"/>
    <mergeCell ref="H7:H13"/>
    <mergeCell ref="I8:I13"/>
    <mergeCell ref="J11:J13"/>
    <mergeCell ref="K12:K13"/>
    <mergeCell ref="L12:L13"/>
    <mergeCell ref="AF9:AH9"/>
    <mergeCell ref="AR6:AR13"/>
    <mergeCell ref="Y8:AB9"/>
    <mergeCell ref="J9:L10"/>
    <mergeCell ref="S9:U10"/>
    <mergeCell ref="M9:P10"/>
    <mergeCell ref="V9:W10"/>
    <mergeCell ref="O12:P12"/>
    <mergeCell ref="AL9:AN9"/>
    <mergeCell ref="AP9:AQ9"/>
    <mergeCell ref="K11:L11"/>
    <mergeCell ref="N11:P11"/>
    <mergeCell ref="T11:U11"/>
    <mergeCell ref="M11:M13"/>
    <mergeCell ref="N12:N13"/>
    <mergeCell ref="Q7:Q13"/>
    <mergeCell ref="R8:R13"/>
  </mergeCells>
  <printOptions horizontalCentered="1"/>
  <pageMargins left="0.23622047244094499" right="0.23622047244094499" top="0.74803149606299202" bottom="0.74803149606299202" header="0.31496062992126" footer="0.31496062992126"/>
  <pageSetup paperSize="9" scale="60" fitToWidth="0" fitToHeight="0" orientation="landscape"/>
  <headerFooter alignWithMargins="0">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18"/>
  <sheetViews>
    <sheetView zoomScale="80" zoomScaleNormal="80" zoomScaleSheetLayoutView="70" zoomScalePageLayoutView="50" workbookViewId="0">
      <selection sqref="A1:M1"/>
    </sheetView>
  </sheetViews>
  <sheetFormatPr defaultColWidth="8.7109375" defaultRowHeight="18.75"/>
  <cols>
    <col min="1" max="1" width="5.140625" style="132" customWidth="1"/>
    <col min="2" max="2" width="33.28515625" style="133" customWidth="1"/>
    <col min="3" max="7" width="9.140625" style="134" customWidth="1"/>
    <col min="8" max="11" width="9.140625" style="26" customWidth="1"/>
    <col min="12" max="24" width="11.42578125" style="26" customWidth="1"/>
    <col min="25" max="25" width="11" style="26" customWidth="1"/>
    <col min="26" max="228" width="8.7109375" style="92"/>
    <col min="229" max="229" width="5.140625" style="92" customWidth="1"/>
    <col min="230" max="230" width="24" style="92" customWidth="1"/>
    <col min="231" max="231" width="7.7109375" style="92" customWidth="1"/>
    <col min="232" max="232" width="8.7109375" style="92" customWidth="1"/>
    <col min="233" max="233" width="8.42578125" style="92" customWidth="1"/>
    <col min="234" max="234" width="9.42578125" style="92" customWidth="1"/>
    <col min="235" max="235" width="10.140625" style="92" customWidth="1"/>
    <col min="236" max="236" width="7.7109375" style="92" customWidth="1"/>
    <col min="237" max="238" width="9.42578125" style="92" customWidth="1"/>
    <col min="239" max="240" width="9.7109375" style="92" customWidth="1"/>
    <col min="241" max="241" width="8.7109375" style="92" customWidth="1"/>
    <col min="242" max="242" width="9.42578125" style="92" customWidth="1"/>
    <col min="243" max="243" width="6.7109375" style="92" customWidth="1"/>
    <col min="244" max="244" width="8.140625" style="92" customWidth="1"/>
    <col min="245" max="245" width="10.42578125" style="92" customWidth="1"/>
    <col min="246" max="246" width="8.42578125" style="92" customWidth="1"/>
    <col min="247" max="247" width="9.7109375" style="92" customWidth="1"/>
    <col min="248" max="248" width="9.42578125" style="92" customWidth="1"/>
    <col min="249" max="249" width="7.42578125" style="92" customWidth="1"/>
    <col min="250" max="250" width="8.42578125" style="92" customWidth="1"/>
    <col min="251" max="252" width="8.28515625" style="92" customWidth="1"/>
    <col min="253" max="253" width="11.42578125" style="92" customWidth="1"/>
    <col min="254" max="254" width="10.42578125" style="92" customWidth="1"/>
    <col min="255" max="255" width="9.7109375" style="92" customWidth="1"/>
    <col min="256" max="256" width="9.140625" style="92" customWidth="1"/>
    <col min="257" max="257" width="9.42578125" style="92" customWidth="1"/>
    <col min="258" max="258" width="7.42578125" style="92" customWidth="1"/>
    <col min="259" max="259" width="8.42578125" style="92" customWidth="1"/>
    <col min="260" max="260" width="8.28515625" style="92" customWidth="1"/>
    <col min="261" max="261" width="11.42578125" style="92" customWidth="1"/>
    <col min="262" max="274" width="8" style="92" customWidth="1"/>
    <col min="275" max="275" width="9.42578125" style="92" customWidth="1"/>
    <col min="276" max="276" width="6.7109375" style="92" customWidth="1"/>
    <col min="277" max="279" width="8.28515625" style="92" customWidth="1"/>
    <col min="280" max="280" width="8.7109375" style="92" customWidth="1"/>
    <col min="281" max="281" width="6.7109375" style="92" customWidth="1"/>
    <col min="282" max="484" width="8.7109375" style="92"/>
    <col min="485" max="485" width="5.140625" style="92" customWidth="1"/>
    <col min="486" max="486" width="24" style="92" customWidth="1"/>
    <col min="487" max="487" width="7.7109375" style="92" customWidth="1"/>
    <col min="488" max="488" width="8.7109375" style="92" customWidth="1"/>
    <col min="489" max="489" width="8.42578125" style="92" customWidth="1"/>
    <col min="490" max="490" width="9.42578125" style="92" customWidth="1"/>
    <col min="491" max="491" width="10.140625" style="92" customWidth="1"/>
    <col min="492" max="492" width="7.7109375" style="92" customWidth="1"/>
    <col min="493" max="494" width="9.42578125" style="92" customWidth="1"/>
    <col min="495" max="496" width="9.7109375" style="92" customWidth="1"/>
    <col min="497" max="497" width="8.7109375" style="92" customWidth="1"/>
    <col min="498" max="498" width="9.42578125" style="92" customWidth="1"/>
    <col min="499" max="499" width="6.7109375" style="92" customWidth="1"/>
    <col min="500" max="500" width="8.140625" style="92" customWidth="1"/>
    <col min="501" max="501" width="10.42578125" style="92" customWidth="1"/>
    <col min="502" max="502" width="8.42578125" style="92" customWidth="1"/>
    <col min="503" max="503" width="9.7109375" style="92" customWidth="1"/>
    <col min="504" max="504" width="9.42578125" style="92" customWidth="1"/>
    <col min="505" max="505" width="7.42578125" style="92" customWidth="1"/>
    <col min="506" max="506" width="8.42578125" style="92" customWidth="1"/>
    <col min="507" max="508" width="8.28515625" style="92" customWidth="1"/>
    <col min="509" max="509" width="11.42578125" style="92" customWidth="1"/>
    <col min="510" max="510" width="10.42578125" style="92" customWidth="1"/>
    <col min="511" max="511" width="9.7109375" style="92" customWidth="1"/>
    <col min="512" max="512" width="9.140625" style="92" customWidth="1"/>
    <col min="513" max="513" width="9.42578125" style="92" customWidth="1"/>
    <col min="514" max="514" width="7.42578125" style="92" customWidth="1"/>
    <col min="515" max="515" width="8.42578125" style="92" customWidth="1"/>
    <col min="516" max="516" width="8.28515625" style="92" customWidth="1"/>
    <col min="517" max="517" width="11.42578125" style="92" customWidth="1"/>
    <col min="518" max="530" width="8" style="92" customWidth="1"/>
    <col min="531" max="531" width="9.42578125" style="92" customWidth="1"/>
    <col min="532" max="532" width="6.7109375" style="92" customWidth="1"/>
    <col min="533" max="535" width="8.28515625" style="92" customWidth="1"/>
    <col min="536" max="536" width="8.7109375" style="92" customWidth="1"/>
    <col min="537" max="537" width="6.7109375" style="92" customWidth="1"/>
    <col min="538" max="740" width="8.7109375" style="92"/>
    <col min="741" max="741" width="5.140625" style="92" customWidth="1"/>
    <col min="742" max="742" width="24" style="92" customWidth="1"/>
    <col min="743" max="743" width="7.7109375" style="92" customWidth="1"/>
    <col min="744" max="744" width="8.7109375" style="92" customWidth="1"/>
    <col min="745" max="745" width="8.42578125" style="92" customWidth="1"/>
    <col min="746" max="746" width="9.42578125" style="92" customWidth="1"/>
    <col min="747" max="747" width="10.140625" style="92" customWidth="1"/>
    <col min="748" max="748" width="7.7109375" style="92" customWidth="1"/>
    <col min="749" max="750" width="9.42578125" style="92" customWidth="1"/>
    <col min="751" max="752" width="9.7109375" style="92" customWidth="1"/>
    <col min="753" max="753" width="8.7109375" style="92" customWidth="1"/>
    <col min="754" max="754" width="9.42578125" style="92" customWidth="1"/>
    <col min="755" max="755" width="6.7109375" style="92" customWidth="1"/>
    <col min="756" max="756" width="8.140625" style="92" customWidth="1"/>
    <col min="757" max="757" width="10.42578125" style="92" customWidth="1"/>
    <col min="758" max="758" width="8.42578125" style="92" customWidth="1"/>
    <col min="759" max="759" width="9.7109375" style="92" customWidth="1"/>
    <col min="760" max="760" width="9.42578125" style="92" customWidth="1"/>
    <col min="761" max="761" width="7.42578125" style="92" customWidth="1"/>
    <col min="762" max="762" width="8.42578125" style="92" customWidth="1"/>
    <col min="763" max="764" width="8.28515625" style="92" customWidth="1"/>
    <col min="765" max="765" width="11.42578125" style="92" customWidth="1"/>
    <col min="766" max="766" width="10.42578125" style="92" customWidth="1"/>
    <col min="767" max="767" width="9.7109375" style="92" customWidth="1"/>
    <col min="768" max="768" width="9.140625" style="92" customWidth="1"/>
    <col min="769" max="769" width="9.42578125" style="92" customWidth="1"/>
    <col min="770" max="770" width="7.42578125" style="92" customWidth="1"/>
    <col min="771" max="771" width="8.42578125" style="92" customWidth="1"/>
    <col min="772" max="772" width="8.28515625" style="92" customWidth="1"/>
    <col min="773" max="773" width="11.42578125" style="92" customWidth="1"/>
    <col min="774" max="786" width="8" style="92" customWidth="1"/>
    <col min="787" max="787" width="9.42578125" style="92" customWidth="1"/>
    <col min="788" max="788" width="6.7109375" style="92" customWidth="1"/>
    <col min="789" max="791" width="8.28515625" style="92" customWidth="1"/>
    <col min="792" max="792" width="8.7109375" style="92" customWidth="1"/>
    <col min="793" max="793" width="6.7109375" style="92" customWidth="1"/>
    <col min="794" max="996" width="8.7109375" style="92"/>
    <col min="997" max="997" width="5.140625" style="92" customWidth="1"/>
    <col min="998" max="998" width="24" style="92" customWidth="1"/>
    <col min="999" max="999" width="7.7109375" style="92" customWidth="1"/>
    <col min="1000" max="1000" width="8.7109375" style="92" customWidth="1"/>
    <col min="1001" max="1001" width="8.42578125" style="92" customWidth="1"/>
    <col min="1002" max="1002" width="9.42578125" style="92" customWidth="1"/>
    <col min="1003" max="1003" width="10.140625" style="92" customWidth="1"/>
    <col min="1004" max="1004" width="7.7109375" style="92" customWidth="1"/>
    <col min="1005" max="1006" width="9.42578125" style="92" customWidth="1"/>
    <col min="1007" max="1008" width="9.7109375" style="92" customWidth="1"/>
    <col min="1009" max="1009" width="8.7109375" style="92" customWidth="1"/>
    <col min="1010" max="1010" width="9.42578125" style="92" customWidth="1"/>
    <col min="1011" max="1011" width="6.7109375" style="92" customWidth="1"/>
    <col min="1012" max="1012" width="8.140625" style="92" customWidth="1"/>
    <col min="1013" max="1013" width="10.42578125" style="92" customWidth="1"/>
    <col min="1014" max="1014" width="8.42578125" style="92" customWidth="1"/>
    <col min="1015" max="1015" width="9.7109375" style="92" customWidth="1"/>
    <col min="1016" max="1016" width="9.42578125" style="92" customWidth="1"/>
    <col min="1017" max="1017" width="7.42578125" style="92" customWidth="1"/>
    <col min="1018" max="1018" width="8.42578125" style="92" customWidth="1"/>
    <col min="1019" max="1020" width="8.28515625" style="92" customWidth="1"/>
    <col min="1021" max="1021" width="11.42578125" style="92" customWidth="1"/>
    <col min="1022" max="1022" width="10.42578125" style="92" customWidth="1"/>
    <col min="1023" max="1023" width="9.7109375" style="92" customWidth="1"/>
    <col min="1024" max="1024" width="9.140625" style="92" customWidth="1"/>
    <col min="1025" max="1025" width="9.42578125" style="92" customWidth="1"/>
    <col min="1026" max="1026" width="7.42578125" style="92" customWidth="1"/>
    <col min="1027" max="1027" width="8.42578125" style="92" customWidth="1"/>
    <col min="1028" max="1028" width="8.28515625" style="92" customWidth="1"/>
    <col min="1029" max="1029" width="11.42578125" style="92" customWidth="1"/>
    <col min="1030" max="1042" width="8" style="92" customWidth="1"/>
    <col min="1043" max="1043" width="9.42578125" style="92" customWidth="1"/>
    <col min="1044" max="1044" width="6.7109375" style="92" customWidth="1"/>
    <col min="1045" max="1047" width="8.28515625" style="92" customWidth="1"/>
    <col min="1048" max="1048" width="8.7109375" style="92" customWidth="1"/>
    <col min="1049" max="1049" width="6.7109375" style="92" customWidth="1"/>
    <col min="1050" max="1252" width="8.7109375" style="92"/>
    <col min="1253" max="1253" width="5.140625" style="92" customWidth="1"/>
    <col min="1254" max="1254" width="24" style="92" customWidth="1"/>
    <col min="1255" max="1255" width="7.7109375" style="92" customWidth="1"/>
    <col min="1256" max="1256" width="8.7109375" style="92" customWidth="1"/>
    <col min="1257" max="1257" width="8.42578125" style="92" customWidth="1"/>
    <col min="1258" max="1258" width="9.42578125" style="92" customWidth="1"/>
    <col min="1259" max="1259" width="10.140625" style="92" customWidth="1"/>
    <col min="1260" max="1260" width="7.7109375" style="92" customWidth="1"/>
    <col min="1261" max="1262" width="9.42578125" style="92" customWidth="1"/>
    <col min="1263" max="1264" width="9.7109375" style="92" customWidth="1"/>
    <col min="1265" max="1265" width="8.7109375" style="92" customWidth="1"/>
    <col min="1266" max="1266" width="9.42578125" style="92" customWidth="1"/>
    <col min="1267" max="1267" width="6.7109375" style="92" customWidth="1"/>
    <col min="1268" max="1268" width="8.140625" style="92" customWidth="1"/>
    <col min="1269" max="1269" width="10.42578125" style="92" customWidth="1"/>
    <col min="1270" max="1270" width="8.42578125" style="92" customWidth="1"/>
    <col min="1271" max="1271" width="9.7109375" style="92" customWidth="1"/>
    <col min="1272" max="1272" width="9.42578125" style="92" customWidth="1"/>
    <col min="1273" max="1273" width="7.42578125" style="92" customWidth="1"/>
    <col min="1274" max="1274" width="8.42578125" style="92" customWidth="1"/>
    <col min="1275" max="1276" width="8.28515625" style="92" customWidth="1"/>
    <col min="1277" max="1277" width="11.42578125" style="92" customWidth="1"/>
    <col min="1278" max="1278" width="10.42578125" style="92" customWidth="1"/>
    <col min="1279" max="1279" width="9.7109375" style="92" customWidth="1"/>
    <col min="1280" max="1280" width="9.140625" style="92" customWidth="1"/>
    <col min="1281" max="1281" width="9.42578125" style="92" customWidth="1"/>
    <col min="1282" max="1282" width="7.42578125" style="92" customWidth="1"/>
    <col min="1283" max="1283" width="8.42578125" style="92" customWidth="1"/>
    <col min="1284" max="1284" width="8.28515625" style="92" customWidth="1"/>
    <col min="1285" max="1285" width="11.42578125" style="92" customWidth="1"/>
    <col min="1286" max="1298" width="8" style="92" customWidth="1"/>
    <col min="1299" max="1299" width="9.42578125" style="92" customWidth="1"/>
    <col min="1300" max="1300" width="6.7109375" style="92" customWidth="1"/>
    <col min="1301" max="1303" width="8.28515625" style="92" customWidth="1"/>
    <col min="1304" max="1304" width="8.7109375" style="92" customWidth="1"/>
    <col min="1305" max="1305" width="6.7109375" style="92" customWidth="1"/>
    <col min="1306" max="1508" width="8.7109375" style="92"/>
    <col min="1509" max="1509" width="5.140625" style="92" customWidth="1"/>
    <col min="1510" max="1510" width="24" style="92" customWidth="1"/>
    <col min="1511" max="1511" width="7.7109375" style="92" customWidth="1"/>
    <col min="1512" max="1512" width="8.7109375" style="92" customWidth="1"/>
    <col min="1513" max="1513" width="8.42578125" style="92" customWidth="1"/>
    <col min="1514" max="1514" width="9.42578125" style="92" customWidth="1"/>
    <col min="1515" max="1515" width="10.140625" style="92" customWidth="1"/>
    <col min="1516" max="1516" width="7.7109375" style="92" customWidth="1"/>
    <col min="1517" max="1518" width="9.42578125" style="92" customWidth="1"/>
    <col min="1519" max="1520" width="9.7109375" style="92" customWidth="1"/>
    <col min="1521" max="1521" width="8.7109375" style="92" customWidth="1"/>
    <col min="1522" max="1522" width="9.42578125" style="92" customWidth="1"/>
    <col min="1523" max="1523" width="6.7109375" style="92" customWidth="1"/>
    <col min="1524" max="1524" width="8.140625" style="92" customWidth="1"/>
    <col min="1525" max="1525" width="10.42578125" style="92" customWidth="1"/>
    <col min="1526" max="1526" width="8.42578125" style="92" customWidth="1"/>
    <col min="1527" max="1527" width="9.7109375" style="92" customWidth="1"/>
    <col min="1528" max="1528" width="9.42578125" style="92" customWidth="1"/>
    <col min="1529" max="1529" width="7.42578125" style="92" customWidth="1"/>
    <col min="1530" max="1530" width="8.42578125" style="92" customWidth="1"/>
    <col min="1531" max="1532" width="8.28515625" style="92" customWidth="1"/>
    <col min="1533" max="1533" width="11.42578125" style="92" customWidth="1"/>
    <col min="1534" max="1534" width="10.42578125" style="92" customWidth="1"/>
    <col min="1535" max="1535" width="9.7109375" style="92" customWidth="1"/>
    <col min="1536" max="1536" width="9.140625" style="92" customWidth="1"/>
    <col min="1537" max="1537" width="9.42578125" style="92" customWidth="1"/>
    <col min="1538" max="1538" width="7.42578125" style="92" customWidth="1"/>
    <col min="1539" max="1539" width="8.42578125" style="92" customWidth="1"/>
    <col min="1540" max="1540" width="8.28515625" style="92" customWidth="1"/>
    <col min="1541" max="1541" width="11.42578125" style="92" customWidth="1"/>
    <col min="1542" max="1554" width="8" style="92" customWidth="1"/>
    <col min="1555" max="1555" width="9.42578125" style="92" customWidth="1"/>
    <col min="1556" max="1556" width="6.7109375" style="92" customWidth="1"/>
    <col min="1557" max="1559" width="8.28515625" style="92" customWidth="1"/>
    <col min="1560" max="1560" width="8.7109375" style="92" customWidth="1"/>
    <col min="1561" max="1561" width="6.7109375" style="92" customWidth="1"/>
    <col min="1562" max="1764" width="8.7109375" style="92"/>
    <col min="1765" max="1765" width="5.140625" style="92" customWidth="1"/>
    <col min="1766" max="1766" width="24" style="92" customWidth="1"/>
    <col min="1767" max="1767" width="7.7109375" style="92" customWidth="1"/>
    <col min="1768" max="1768" width="8.7109375" style="92" customWidth="1"/>
    <col min="1769" max="1769" width="8.42578125" style="92" customWidth="1"/>
    <col min="1770" max="1770" width="9.42578125" style="92" customWidth="1"/>
    <col min="1771" max="1771" width="10.140625" style="92" customWidth="1"/>
    <col min="1772" max="1772" width="7.7109375" style="92" customWidth="1"/>
    <col min="1773" max="1774" width="9.42578125" style="92" customWidth="1"/>
    <col min="1775" max="1776" width="9.7109375" style="92" customWidth="1"/>
    <col min="1777" max="1777" width="8.7109375" style="92" customWidth="1"/>
    <col min="1778" max="1778" width="9.42578125" style="92" customWidth="1"/>
    <col min="1779" max="1779" width="6.7109375" style="92" customWidth="1"/>
    <col min="1780" max="1780" width="8.140625" style="92" customWidth="1"/>
    <col min="1781" max="1781" width="10.42578125" style="92" customWidth="1"/>
    <col min="1782" max="1782" width="8.42578125" style="92" customWidth="1"/>
    <col min="1783" max="1783" width="9.7109375" style="92" customWidth="1"/>
    <col min="1784" max="1784" width="9.42578125" style="92" customWidth="1"/>
    <col min="1785" max="1785" width="7.42578125" style="92" customWidth="1"/>
    <col min="1786" max="1786" width="8.42578125" style="92" customWidth="1"/>
    <col min="1787" max="1788" width="8.28515625" style="92" customWidth="1"/>
    <col min="1789" max="1789" width="11.42578125" style="92" customWidth="1"/>
    <col min="1790" max="1790" width="10.42578125" style="92" customWidth="1"/>
    <col min="1791" max="1791" width="9.7109375" style="92" customWidth="1"/>
    <col min="1792" max="1792" width="9.140625" style="92" customWidth="1"/>
    <col min="1793" max="1793" width="9.42578125" style="92" customWidth="1"/>
    <col min="1794" max="1794" width="7.42578125" style="92" customWidth="1"/>
    <col min="1795" max="1795" width="8.42578125" style="92" customWidth="1"/>
    <col min="1796" max="1796" width="8.28515625" style="92" customWidth="1"/>
    <col min="1797" max="1797" width="11.42578125" style="92" customWidth="1"/>
    <col min="1798" max="1810" width="8" style="92" customWidth="1"/>
    <col min="1811" max="1811" width="9.42578125" style="92" customWidth="1"/>
    <col min="1812" max="1812" width="6.7109375" style="92" customWidth="1"/>
    <col min="1813" max="1815" width="8.28515625" style="92" customWidth="1"/>
    <col min="1816" max="1816" width="8.7109375" style="92" customWidth="1"/>
    <col min="1817" max="1817" width="6.7109375" style="92" customWidth="1"/>
    <col min="1818" max="2020" width="8.7109375" style="92"/>
    <col min="2021" max="2021" width="5.140625" style="92" customWidth="1"/>
    <col min="2022" max="2022" width="24" style="92" customWidth="1"/>
    <col min="2023" max="2023" width="7.7109375" style="92" customWidth="1"/>
    <col min="2024" max="2024" width="8.7109375" style="92" customWidth="1"/>
    <col min="2025" max="2025" width="8.42578125" style="92" customWidth="1"/>
    <col min="2026" max="2026" width="9.42578125" style="92" customWidth="1"/>
    <col min="2027" max="2027" width="10.140625" style="92" customWidth="1"/>
    <col min="2028" max="2028" width="7.7109375" style="92" customWidth="1"/>
    <col min="2029" max="2030" width="9.42578125" style="92" customWidth="1"/>
    <col min="2031" max="2032" width="9.7109375" style="92" customWidth="1"/>
    <col min="2033" max="2033" width="8.7109375" style="92" customWidth="1"/>
    <col min="2034" max="2034" width="9.42578125" style="92" customWidth="1"/>
    <col min="2035" max="2035" width="6.7109375" style="92" customWidth="1"/>
    <col min="2036" max="2036" width="8.140625" style="92" customWidth="1"/>
    <col min="2037" max="2037" width="10.42578125" style="92" customWidth="1"/>
    <col min="2038" max="2038" width="8.42578125" style="92" customWidth="1"/>
    <col min="2039" max="2039" width="9.7109375" style="92" customWidth="1"/>
    <col min="2040" max="2040" width="9.42578125" style="92" customWidth="1"/>
    <col min="2041" max="2041" width="7.42578125" style="92" customWidth="1"/>
    <col min="2042" max="2042" width="8.42578125" style="92" customWidth="1"/>
    <col min="2043" max="2044" width="8.28515625" style="92" customWidth="1"/>
    <col min="2045" max="2045" width="11.42578125" style="92" customWidth="1"/>
    <col min="2046" max="2046" width="10.42578125" style="92" customWidth="1"/>
    <col min="2047" max="2047" width="9.7109375" style="92" customWidth="1"/>
    <col min="2048" max="2048" width="9.140625" style="92" customWidth="1"/>
    <col min="2049" max="2049" width="9.42578125" style="92" customWidth="1"/>
    <col min="2050" max="2050" width="7.42578125" style="92" customWidth="1"/>
    <col min="2051" max="2051" width="8.42578125" style="92" customWidth="1"/>
    <col min="2052" max="2052" width="8.28515625" style="92" customWidth="1"/>
    <col min="2053" max="2053" width="11.42578125" style="92" customWidth="1"/>
    <col min="2054" max="2066" width="8" style="92" customWidth="1"/>
    <col min="2067" max="2067" width="9.42578125" style="92" customWidth="1"/>
    <col min="2068" max="2068" width="6.7109375" style="92" customWidth="1"/>
    <col min="2069" max="2071" width="8.28515625" style="92" customWidth="1"/>
    <col min="2072" max="2072" width="8.7109375" style="92" customWidth="1"/>
    <col min="2073" max="2073" width="6.7109375" style="92" customWidth="1"/>
    <col min="2074" max="2276" width="8.7109375" style="92"/>
    <col min="2277" max="2277" width="5.140625" style="92" customWidth="1"/>
    <col min="2278" max="2278" width="24" style="92" customWidth="1"/>
    <col min="2279" max="2279" width="7.7109375" style="92" customWidth="1"/>
    <col min="2280" max="2280" width="8.7109375" style="92" customWidth="1"/>
    <col min="2281" max="2281" width="8.42578125" style="92" customWidth="1"/>
    <col min="2282" max="2282" width="9.42578125" style="92" customWidth="1"/>
    <col min="2283" max="2283" width="10.140625" style="92" customWidth="1"/>
    <col min="2284" max="2284" width="7.7109375" style="92" customWidth="1"/>
    <col min="2285" max="2286" width="9.42578125" style="92" customWidth="1"/>
    <col min="2287" max="2288" width="9.7109375" style="92" customWidth="1"/>
    <col min="2289" max="2289" width="8.7109375" style="92" customWidth="1"/>
    <col min="2290" max="2290" width="9.42578125" style="92" customWidth="1"/>
    <col min="2291" max="2291" width="6.7109375" style="92" customWidth="1"/>
    <col min="2292" max="2292" width="8.140625" style="92" customWidth="1"/>
    <col min="2293" max="2293" width="10.42578125" style="92" customWidth="1"/>
    <col min="2294" max="2294" width="8.42578125" style="92" customWidth="1"/>
    <col min="2295" max="2295" width="9.7109375" style="92" customWidth="1"/>
    <col min="2296" max="2296" width="9.42578125" style="92" customWidth="1"/>
    <col min="2297" max="2297" width="7.42578125" style="92" customWidth="1"/>
    <col min="2298" max="2298" width="8.42578125" style="92" customWidth="1"/>
    <col min="2299" max="2300" width="8.28515625" style="92" customWidth="1"/>
    <col min="2301" max="2301" width="11.42578125" style="92" customWidth="1"/>
    <col min="2302" max="2302" width="10.42578125" style="92" customWidth="1"/>
    <col min="2303" max="2303" width="9.7109375" style="92" customWidth="1"/>
    <col min="2304" max="2304" width="9.140625" style="92" customWidth="1"/>
    <col min="2305" max="2305" width="9.42578125" style="92" customWidth="1"/>
    <col min="2306" max="2306" width="7.42578125" style="92" customWidth="1"/>
    <col min="2307" max="2307" width="8.42578125" style="92" customWidth="1"/>
    <col min="2308" max="2308" width="8.28515625" style="92" customWidth="1"/>
    <col min="2309" max="2309" width="11.42578125" style="92" customWidth="1"/>
    <col min="2310" max="2322" width="8" style="92" customWidth="1"/>
    <col min="2323" max="2323" width="9.42578125" style="92" customWidth="1"/>
    <col min="2324" max="2324" width="6.7109375" style="92" customWidth="1"/>
    <col min="2325" max="2327" width="8.28515625" style="92" customWidth="1"/>
    <col min="2328" max="2328" width="8.7109375" style="92" customWidth="1"/>
    <col min="2329" max="2329" width="6.7109375" style="92" customWidth="1"/>
    <col min="2330" max="2532" width="8.7109375" style="92"/>
    <col min="2533" max="2533" width="5.140625" style="92" customWidth="1"/>
    <col min="2534" max="2534" width="24" style="92" customWidth="1"/>
    <col min="2535" max="2535" width="7.7109375" style="92" customWidth="1"/>
    <col min="2536" max="2536" width="8.7109375" style="92" customWidth="1"/>
    <col min="2537" max="2537" width="8.42578125" style="92" customWidth="1"/>
    <col min="2538" max="2538" width="9.42578125" style="92" customWidth="1"/>
    <col min="2539" max="2539" width="10.140625" style="92" customWidth="1"/>
    <col min="2540" max="2540" width="7.7109375" style="92" customWidth="1"/>
    <col min="2541" max="2542" width="9.42578125" style="92" customWidth="1"/>
    <col min="2543" max="2544" width="9.7109375" style="92" customWidth="1"/>
    <col min="2545" max="2545" width="8.7109375" style="92" customWidth="1"/>
    <col min="2546" max="2546" width="9.42578125" style="92" customWidth="1"/>
    <col min="2547" max="2547" width="6.7109375" style="92" customWidth="1"/>
    <col min="2548" max="2548" width="8.140625" style="92" customWidth="1"/>
    <col min="2549" max="2549" width="10.42578125" style="92" customWidth="1"/>
    <col min="2550" max="2550" width="8.42578125" style="92" customWidth="1"/>
    <col min="2551" max="2551" width="9.7109375" style="92" customWidth="1"/>
    <col min="2552" max="2552" width="9.42578125" style="92" customWidth="1"/>
    <col min="2553" max="2553" width="7.42578125" style="92" customWidth="1"/>
    <col min="2554" max="2554" width="8.42578125" style="92" customWidth="1"/>
    <col min="2555" max="2556" width="8.28515625" style="92" customWidth="1"/>
    <col min="2557" max="2557" width="11.42578125" style="92" customWidth="1"/>
    <col min="2558" max="2558" width="10.42578125" style="92" customWidth="1"/>
    <col min="2559" max="2559" width="9.7109375" style="92" customWidth="1"/>
    <col min="2560" max="2560" width="9.140625" style="92" customWidth="1"/>
    <col min="2561" max="2561" width="9.42578125" style="92" customWidth="1"/>
    <col min="2562" max="2562" width="7.42578125" style="92" customWidth="1"/>
    <col min="2563" max="2563" width="8.42578125" style="92" customWidth="1"/>
    <col min="2564" max="2564" width="8.28515625" style="92" customWidth="1"/>
    <col min="2565" max="2565" width="11.42578125" style="92" customWidth="1"/>
    <col min="2566" max="2578" width="8" style="92" customWidth="1"/>
    <col min="2579" max="2579" width="9.42578125" style="92" customWidth="1"/>
    <col min="2580" max="2580" width="6.7109375" style="92" customWidth="1"/>
    <col min="2581" max="2583" width="8.28515625" style="92" customWidth="1"/>
    <col min="2584" max="2584" width="8.7109375" style="92" customWidth="1"/>
    <col min="2585" max="2585" width="6.7109375" style="92" customWidth="1"/>
    <col min="2586" max="2788" width="8.7109375" style="92"/>
    <col min="2789" max="2789" width="5.140625" style="92" customWidth="1"/>
    <col min="2790" max="2790" width="24" style="92" customWidth="1"/>
    <col min="2791" max="2791" width="7.7109375" style="92" customWidth="1"/>
    <col min="2792" max="2792" width="8.7109375" style="92" customWidth="1"/>
    <col min="2793" max="2793" width="8.42578125" style="92" customWidth="1"/>
    <col min="2794" max="2794" width="9.42578125" style="92" customWidth="1"/>
    <col min="2795" max="2795" width="10.140625" style="92" customWidth="1"/>
    <col min="2796" max="2796" width="7.7109375" style="92" customWidth="1"/>
    <col min="2797" max="2798" width="9.42578125" style="92" customWidth="1"/>
    <col min="2799" max="2800" width="9.7109375" style="92" customWidth="1"/>
    <col min="2801" max="2801" width="8.7109375" style="92" customWidth="1"/>
    <col min="2802" max="2802" width="9.42578125" style="92" customWidth="1"/>
    <col min="2803" max="2803" width="6.7109375" style="92" customWidth="1"/>
    <col min="2804" max="2804" width="8.140625" style="92" customWidth="1"/>
    <col min="2805" max="2805" width="10.42578125" style="92" customWidth="1"/>
    <col min="2806" max="2806" width="8.42578125" style="92" customWidth="1"/>
    <col min="2807" max="2807" width="9.7109375" style="92" customWidth="1"/>
    <col min="2808" max="2808" width="9.42578125" style="92" customWidth="1"/>
    <col min="2809" max="2809" width="7.42578125" style="92" customWidth="1"/>
    <col min="2810" max="2810" width="8.42578125" style="92" customWidth="1"/>
    <col min="2811" max="2812" width="8.28515625" style="92" customWidth="1"/>
    <col min="2813" max="2813" width="11.42578125" style="92" customWidth="1"/>
    <col min="2814" max="2814" width="10.42578125" style="92" customWidth="1"/>
    <col min="2815" max="2815" width="9.7109375" style="92" customWidth="1"/>
    <col min="2816" max="2816" width="9.140625" style="92" customWidth="1"/>
    <col min="2817" max="2817" width="9.42578125" style="92" customWidth="1"/>
    <col min="2818" max="2818" width="7.42578125" style="92" customWidth="1"/>
    <col min="2819" max="2819" width="8.42578125" style="92" customWidth="1"/>
    <col min="2820" max="2820" width="8.28515625" style="92" customWidth="1"/>
    <col min="2821" max="2821" width="11.42578125" style="92" customWidth="1"/>
    <col min="2822" max="2834" width="8" style="92" customWidth="1"/>
    <col min="2835" max="2835" width="9.42578125" style="92" customWidth="1"/>
    <col min="2836" max="2836" width="6.7109375" style="92" customWidth="1"/>
    <col min="2837" max="2839" width="8.28515625" style="92" customWidth="1"/>
    <col min="2840" max="2840" width="8.7109375" style="92" customWidth="1"/>
    <col min="2841" max="2841" width="6.7109375" style="92" customWidth="1"/>
    <col min="2842" max="3044" width="8.7109375" style="92"/>
    <col min="3045" max="3045" width="5.140625" style="92" customWidth="1"/>
    <col min="3046" max="3046" width="24" style="92" customWidth="1"/>
    <col min="3047" max="3047" width="7.7109375" style="92" customWidth="1"/>
    <col min="3048" max="3048" width="8.7109375" style="92" customWidth="1"/>
    <col min="3049" max="3049" width="8.42578125" style="92" customWidth="1"/>
    <col min="3050" max="3050" width="9.42578125" style="92" customWidth="1"/>
    <col min="3051" max="3051" width="10.140625" style="92" customWidth="1"/>
    <col min="3052" max="3052" width="7.7109375" style="92" customWidth="1"/>
    <col min="3053" max="3054" width="9.42578125" style="92" customWidth="1"/>
    <col min="3055" max="3056" width="9.7109375" style="92" customWidth="1"/>
    <col min="3057" max="3057" width="8.7109375" style="92" customWidth="1"/>
    <col min="3058" max="3058" width="9.42578125" style="92" customWidth="1"/>
    <col min="3059" max="3059" width="6.7109375" style="92" customWidth="1"/>
    <col min="3060" max="3060" width="8.140625" style="92" customWidth="1"/>
    <col min="3061" max="3061" width="10.42578125" style="92" customWidth="1"/>
    <col min="3062" max="3062" width="8.42578125" style="92" customWidth="1"/>
    <col min="3063" max="3063" width="9.7109375" style="92" customWidth="1"/>
    <col min="3064" max="3064" width="9.42578125" style="92" customWidth="1"/>
    <col min="3065" max="3065" width="7.42578125" style="92" customWidth="1"/>
    <col min="3066" max="3066" width="8.42578125" style="92" customWidth="1"/>
    <col min="3067" max="3068" width="8.28515625" style="92" customWidth="1"/>
    <col min="3069" max="3069" width="11.42578125" style="92" customWidth="1"/>
    <col min="3070" max="3070" width="10.42578125" style="92" customWidth="1"/>
    <col min="3071" max="3071" width="9.7109375" style="92" customWidth="1"/>
    <col min="3072" max="3072" width="9.140625" style="92" customWidth="1"/>
    <col min="3073" max="3073" width="9.42578125" style="92" customWidth="1"/>
    <col min="3074" max="3074" width="7.42578125" style="92" customWidth="1"/>
    <col min="3075" max="3075" width="8.42578125" style="92" customWidth="1"/>
    <col min="3076" max="3076" width="8.28515625" style="92" customWidth="1"/>
    <col min="3077" max="3077" width="11.42578125" style="92" customWidth="1"/>
    <col min="3078" max="3090" width="8" style="92" customWidth="1"/>
    <col min="3091" max="3091" width="9.42578125" style="92" customWidth="1"/>
    <col min="3092" max="3092" width="6.7109375" style="92" customWidth="1"/>
    <col min="3093" max="3095" width="8.28515625" style="92" customWidth="1"/>
    <col min="3096" max="3096" width="8.7109375" style="92" customWidth="1"/>
    <col min="3097" max="3097" width="6.7109375" style="92" customWidth="1"/>
    <col min="3098" max="3300" width="8.7109375" style="92"/>
    <col min="3301" max="3301" width="5.140625" style="92" customWidth="1"/>
    <col min="3302" max="3302" width="24" style="92" customWidth="1"/>
    <col min="3303" max="3303" width="7.7109375" style="92" customWidth="1"/>
    <col min="3304" max="3304" width="8.7109375" style="92" customWidth="1"/>
    <col min="3305" max="3305" width="8.42578125" style="92" customWidth="1"/>
    <col min="3306" max="3306" width="9.42578125" style="92" customWidth="1"/>
    <col min="3307" max="3307" width="10.140625" style="92" customWidth="1"/>
    <col min="3308" max="3308" width="7.7109375" style="92" customWidth="1"/>
    <col min="3309" max="3310" width="9.42578125" style="92" customWidth="1"/>
    <col min="3311" max="3312" width="9.7109375" style="92" customWidth="1"/>
    <col min="3313" max="3313" width="8.7109375" style="92" customWidth="1"/>
    <col min="3314" max="3314" width="9.42578125" style="92" customWidth="1"/>
    <col min="3315" max="3315" width="6.7109375" style="92" customWidth="1"/>
    <col min="3316" max="3316" width="8.140625" style="92" customWidth="1"/>
    <col min="3317" max="3317" width="10.42578125" style="92" customWidth="1"/>
    <col min="3318" max="3318" width="8.42578125" style="92" customWidth="1"/>
    <col min="3319" max="3319" width="9.7109375" style="92" customWidth="1"/>
    <col min="3320" max="3320" width="9.42578125" style="92" customWidth="1"/>
    <col min="3321" max="3321" width="7.42578125" style="92" customWidth="1"/>
    <col min="3322" max="3322" width="8.42578125" style="92" customWidth="1"/>
    <col min="3323" max="3324" width="8.28515625" style="92" customWidth="1"/>
    <col min="3325" max="3325" width="11.42578125" style="92" customWidth="1"/>
    <col min="3326" max="3326" width="10.42578125" style="92" customWidth="1"/>
    <col min="3327" max="3327" width="9.7109375" style="92" customWidth="1"/>
    <col min="3328" max="3328" width="9.140625" style="92" customWidth="1"/>
    <col min="3329" max="3329" width="9.42578125" style="92" customWidth="1"/>
    <col min="3330" max="3330" width="7.42578125" style="92" customWidth="1"/>
    <col min="3331" max="3331" width="8.42578125" style="92" customWidth="1"/>
    <col min="3332" max="3332" width="8.28515625" style="92" customWidth="1"/>
    <col min="3333" max="3333" width="11.42578125" style="92" customWidth="1"/>
    <col min="3334" max="3346" width="8" style="92" customWidth="1"/>
    <col min="3347" max="3347" width="9.42578125" style="92" customWidth="1"/>
    <col min="3348" max="3348" width="6.7109375" style="92" customWidth="1"/>
    <col min="3349" max="3351" width="8.28515625" style="92" customWidth="1"/>
    <col min="3352" max="3352" width="8.7109375" style="92" customWidth="1"/>
    <col min="3353" max="3353" width="6.7109375" style="92" customWidth="1"/>
    <col min="3354" max="3556" width="8.7109375" style="92"/>
    <col min="3557" max="3557" width="5.140625" style="92" customWidth="1"/>
    <col min="3558" max="3558" width="24" style="92" customWidth="1"/>
    <col min="3559" max="3559" width="7.7109375" style="92" customWidth="1"/>
    <col min="3560" max="3560" width="8.7109375" style="92" customWidth="1"/>
    <col min="3561" max="3561" width="8.42578125" style="92" customWidth="1"/>
    <col min="3562" max="3562" width="9.42578125" style="92" customWidth="1"/>
    <col min="3563" max="3563" width="10.140625" style="92" customWidth="1"/>
    <col min="3564" max="3564" width="7.7109375" style="92" customWidth="1"/>
    <col min="3565" max="3566" width="9.42578125" style="92" customWidth="1"/>
    <col min="3567" max="3568" width="9.7109375" style="92" customWidth="1"/>
    <col min="3569" max="3569" width="8.7109375" style="92" customWidth="1"/>
    <col min="3570" max="3570" width="9.42578125" style="92" customWidth="1"/>
    <col min="3571" max="3571" width="6.7109375" style="92" customWidth="1"/>
    <col min="3572" max="3572" width="8.140625" style="92" customWidth="1"/>
    <col min="3573" max="3573" width="10.42578125" style="92" customWidth="1"/>
    <col min="3574" max="3574" width="8.42578125" style="92" customWidth="1"/>
    <col min="3575" max="3575" width="9.7109375" style="92" customWidth="1"/>
    <col min="3576" max="3576" width="9.42578125" style="92" customWidth="1"/>
    <col min="3577" max="3577" width="7.42578125" style="92" customWidth="1"/>
    <col min="3578" max="3578" width="8.42578125" style="92" customWidth="1"/>
    <col min="3579" max="3580" width="8.28515625" style="92" customWidth="1"/>
    <col min="3581" max="3581" width="11.42578125" style="92" customWidth="1"/>
    <col min="3582" max="3582" width="10.42578125" style="92" customWidth="1"/>
    <col min="3583" max="3583" width="9.7109375" style="92" customWidth="1"/>
    <col min="3584" max="3584" width="9.140625" style="92" customWidth="1"/>
    <col min="3585" max="3585" width="9.42578125" style="92" customWidth="1"/>
    <col min="3586" max="3586" width="7.42578125" style="92" customWidth="1"/>
    <col min="3587" max="3587" width="8.42578125" style="92" customWidth="1"/>
    <col min="3588" max="3588" width="8.28515625" style="92" customWidth="1"/>
    <col min="3589" max="3589" width="11.42578125" style="92" customWidth="1"/>
    <col min="3590" max="3602" width="8" style="92" customWidth="1"/>
    <col min="3603" max="3603" width="9.42578125" style="92" customWidth="1"/>
    <col min="3604" max="3604" width="6.7109375" style="92" customWidth="1"/>
    <col min="3605" max="3607" width="8.28515625" style="92" customWidth="1"/>
    <col min="3608" max="3608" width="8.7109375" style="92" customWidth="1"/>
    <col min="3609" max="3609" width="6.7109375" style="92" customWidth="1"/>
    <col min="3610" max="3812" width="8.7109375" style="92"/>
    <col min="3813" max="3813" width="5.140625" style="92" customWidth="1"/>
    <col min="3814" max="3814" width="24" style="92" customWidth="1"/>
    <col min="3815" max="3815" width="7.7109375" style="92" customWidth="1"/>
    <col min="3816" max="3816" width="8.7109375" style="92" customWidth="1"/>
    <col min="3817" max="3817" width="8.42578125" style="92" customWidth="1"/>
    <col min="3818" max="3818" width="9.42578125" style="92" customWidth="1"/>
    <col min="3819" max="3819" width="10.140625" style="92" customWidth="1"/>
    <col min="3820" max="3820" width="7.7109375" style="92" customWidth="1"/>
    <col min="3821" max="3822" width="9.42578125" style="92" customWidth="1"/>
    <col min="3823" max="3824" width="9.7109375" style="92" customWidth="1"/>
    <col min="3825" max="3825" width="8.7109375" style="92" customWidth="1"/>
    <col min="3826" max="3826" width="9.42578125" style="92" customWidth="1"/>
    <col min="3827" max="3827" width="6.7109375" style="92" customWidth="1"/>
    <col min="3828" max="3828" width="8.140625" style="92" customWidth="1"/>
    <col min="3829" max="3829" width="10.42578125" style="92" customWidth="1"/>
    <col min="3830" max="3830" width="8.42578125" style="92" customWidth="1"/>
    <col min="3831" max="3831" width="9.7109375" style="92" customWidth="1"/>
    <col min="3832" max="3832" width="9.42578125" style="92" customWidth="1"/>
    <col min="3833" max="3833" width="7.42578125" style="92" customWidth="1"/>
    <col min="3834" max="3834" width="8.42578125" style="92" customWidth="1"/>
    <col min="3835" max="3836" width="8.28515625" style="92" customWidth="1"/>
    <col min="3837" max="3837" width="11.42578125" style="92" customWidth="1"/>
    <col min="3838" max="3838" width="10.42578125" style="92" customWidth="1"/>
    <col min="3839" max="3839" width="9.7109375" style="92" customWidth="1"/>
    <col min="3840" max="3840" width="9.140625" style="92" customWidth="1"/>
    <col min="3841" max="3841" width="9.42578125" style="92" customWidth="1"/>
    <col min="3842" max="3842" width="7.42578125" style="92" customWidth="1"/>
    <col min="3843" max="3843" width="8.42578125" style="92" customWidth="1"/>
    <col min="3844" max="3844" width="8.28515625" style="92" customWidth="1"/>
    <col min="3845" max="3845" width="11.42578125" style="92" customWidth="1"/>
    <col min="3846" max="3858" width="8" style="92" customWidth="1"/>
    <col min="3859" max="3859" width="9.42578125" style="92" customWidth="1"/>
    <col min="3860" max="3860" width="6.7109375" style="92" customWidth="1"/>
    <col min="3861" max="3863" width="8.28515625" style="92" customWidth="1"/>
    <col min="3864" max="3864" width="8.7109375" style="92" customWidth="1"/>
    <col min="3865" max="3865" width="6.7109375" style="92" customWidth="1"/>
    <col min="3866" max="4068" width="8.7109375" style="92"/>
    <col min="4069" max="4069" width="5.140625" style="92" customWidth="1"/>
    <col min="4070" max="4070" width="24" style="92" customWidth="1"/>
    <col min="4071" max="4071" width="7.7109375" style="92" customWidth="1"/>
    <col min="4072" max="4072" width="8.7109375" style="92" customWidth="1"/>
    <col min="4073" max="4073" width="8.42578125" style="92" customWidth="1"/>
    <col min="4074" max="4074" width="9.42578125" style="92" customWidth="1"/>
    <col min="4075" max="4075" width="10.140625" style="92" customWidth="1"/>
    <col min="4076" max="4076" width="7.7109375" style="92" customWidth="1"/>
    <col min="4077" max="4078" width="9.42578125" style="92" customWidth="1"/>
    <col min="4079" max="4080" width="9.7109375" style="92" customWidth="1"/>
    <col min="4081" max="4081" width="8.7109375" style="92" customWidth="1"/>
    <col min="4082" max="4082" width="9.42578125" style="92" customWidth="1"/>
    <col min="4083" max="4083" width="6.7109375" style="92" customWidth="1"/>
    <col min="4084" max="4084" width="8.140625" style="92" customWidth="1"/>
    <col min="4085" max="4085" width="10.42578125" style="92" customWidth="1"/>
    <col min="4086" max="4086" width="8.42578125" style="92" customWidth="1"/>
    <col min="4087" max="4087" width="9.7109375" style="92" customWidth="1"/>
    <col min="4088" max="4088" width="9.42578125" style="92" customWidth="1"/>
    <col min="4089" max="4089" width="7.42578125" style="92" customWidth="1"/>
    <col min="4090" max="4090" width="8.42578125" style="92" customWidth="1"/>
    <col min="4091" max="4092" width="8.28515625" style="92" customWidth="1"/>
    <col min="4093" max="4093" width="11.42578125" style="92" customWidth="1"/>
    <col min="4094" max="4094" width="10.42578125" style="92" customWidth="1"/>
    <col min="4095" max="4095" width="9.7109375" style="92" customWidth="1"/>
    <col min="4096" max="4096" width="9.140625" style="92" customWidth="1"/>
    <col min="4097" max="4097" width="9.42578125" style="92" customWidth="1"/>
    <col min="4098" max="4098" width="7.42578125" style="92" customWidth="1"/>
    <col min="4099" max="4099" width="8.42578125" style="92" customWidth="1"/>
    <col min="4100" max="4100" width="8.28515625" style="92" customWidth="1"/>
    <col min="4101" max="4101" width="11.42578125" style="92" customWidth="1"/>
    <col min="4102" max="4114" width="8" style="92" customWidth="1"/>
    <col min="4115" max="4115" width="9.42578125" style="92" customWidth="1"/>
    <col min="4116" max="4116" width="6.7109375" style="92" customWidth="1"/>
    <col min="4117" max="4119" width="8.28515625" style="92" customWidth="1"/>
    <col min="4120" max="4120" width="8.7109375" style="92" customWidth="1"/>
    <col min="4121" max="4121" width="6.7109375" style="92" customWidth="1"/>
    <col min="4122" max="4324" width="8.7109375" style="92"/>
    <col min="4325" max="4325" width="5.140625" style="92" customWidth="1"/>
    <col min="4326" max="4326" width="24" style="92" customWidth="1"/>
    <col min="4327" max="4327" width="7.7109375" style="92" customWidth="1"/>
    <col min="4328" max="4328" width="8.7109375" style="92" customWidth="1"/>
    <col min="4329" max="4329" width="8.42578125" style="92" customWidth="1"/>
    <col min="4330" max="4330" width="9.42578125" style="92" customWidth="1"/>
    <col min="4331" max="4331" width="10.140625" style="92" customWidth="1"/>
    <col min="4332" max="4332" width="7.7109375" style="92" customWidth="1"/>
    <col min="4333" max="4334" width="9.42578125" style="92" customWidth="1"/>
    <col min="4335" max="4336" width="9.7109375" style="92" customWidth="1"/>
    <col min="4337" max="4337" width="8.7109375" style="92" customWidth="1"/>
    <col min="4338" max="4338" width="9.42578125" style="92" customWidth="1"/>
    <col min="4339" max="4339" width="6.7109375" style="92" customWidth="1"/>
    <col min="4340" max="4340" width="8.140625" style="92" customWidth="1"/>
    <col min="4341" max="4341" width="10.42578125" style="92" customWidth="1"/>
    <col min="4342" max="4342" width="8.42578125" style="92" customWidth="1"/>
    <col min="4343" max="4343" width="9.7109375" style="92" customWidth="1"/>
    <col min="4344" max="4344" width="9.42578125" style="92" customWidth="1"/>
    <col min="4345" max="4345" width="7.42578125" style="92" customWidth="1"/>
    <col min="4346" max="4346" width="8.42578125" style="92" customWidth="1"/>
    <col min="4347" max="4348" width="8.28515625" style="92" customWidth="1"/>
    <col min="4349" max="4349" width="11.42578125" style="92" customWidth="1"/>
    <col min="4350" max="4350" width="10.42578125" style="92" customWidth="1"/>
    <col min="4351" max="4351" width="9.7109375" style="92" customWidth="1"/>
    <col min="4352" max="4352" width="9.140625" style="92" customWidth="1"/>
    <col min="4353" max="4353" width="9.42578125" style="92" customWidth="1"/>
    <col min="4354" max="4354" width="7.42578125" style="92" customWidth="1"/>
    <col min="4355" max="4355" width="8.42578125" style="92" customWidth="1"/>
    <col min="4356" max="4356" width="8.28515625" style="92" customWidth="1"/>
    <col min="4357" max="4357" width="11.42578125" style="92" customWidth="1"/>
    <col min="4358" max="4370" width="8" style="92" customWidth="1"/>
    <col min="4371" max="4371" width="9.42578125" style="92" customWidth="1"/>
    <col min="4372" max="4372" width="6.7109375" style="92" customWidth="1"/>
    <col min="4373" max="4375" width="8.28515625" style="92" customWidth="1"/>
    <col min="4376" max="4376" width="8.7109375" style="92" customWidth="1"/>
    <col min="4377" max="4377" width="6.7109375" style="92" customWidth="1"/>
    <col min="4378" max="4580" width="8.7109375" style="92"/>
    <col min="4581" max="4581" width="5.140625" style="92" customWidth="1"/>
    <col min="4582" max="4582" width="24" style="92" customWidth="1"/>
    <col min="4583" max="4583" width="7.7109375" style="92" customWidth="1"/>
    <col min="4584" max="4584" width="8.7109375" style="92" customWidth="1"/>
    <col min="4585" max="4585" width="8.42578125" style="92" customWidth="1"/>
    <col min="4586" max="4586" width="9.42578125" style="92" customWidth="1"/>
    <col min="4587" max="4587" width="10.140625" style="92" customWidth="1"/>
    <col min="4588" max="4588" width="7.7109375" style="92" customWidth="1"/>
    <col min="4589" max="4590" width="9.42578125" style="92" customWidth="1"/>
    <col min="4591" max="4592" width="9.7109375" style="92" customWidth="1"/>
    <col min="4593" max="4593" width="8.7109375" style="92" customWidth="1"/>
    <col min="4594" max="4594" width="9.42578125" style="92" customWidth="1"/>
    <col min="4595" max="4595" width="6.7109375" style="92" customWidth="1"/>
    <col min="4596" max="4596" width="8.140625" style="92" customWidth="1"/>
    <col min="4597" max="4597" width="10.42578125" style="92" customWidth="1"/>
    <col min="4598" max="4598" width="8.42578125" style="92" customWidth="1"/>
    <col min="4599" max="4599" width="9.7109375" style="92" customWidth="1"/>
    <col min="4600" max="4600" width="9.42578125" style="92" customWidth="1"/>
    <col min="4601" max="4601" width="7.42578125" style="92" customWidth="1"/>
    <col min="4602" max="4602" width="8.42578125" style="92" customWidth="1"/>
    <col min="4603" max="4604" width="8.28515625" style="92" customWidth="1"/>
    <col min="4605" max="4605" width="11.42578125" style="92" customWidth="1"/>
    <col min="4606" max="4606" width="10.42578125" style="92" customWidth="1"/>
    <col min="4607" max="4607" width="9.7109375" style="92" customWidth="1"/>
    <col min="4608" max="4608" width="9.140625" style="92" customWidth="1"/>
    <col min="4609" max="4609" width="9.42578125" style="92" customWidth="1"/>
    <col min="4610" max="4610" width="7.42578125" style="92" customWidth="1"/>
    <col min="4611" max="4611" width="8.42578125" style="92" customWidth="1"/>
    <col min="4612" max="4612" width="8.28515625" style="92" customWidth="1"/>
    <col min="4613" max="4613" width="11.42578125" style="92" customWidth="1"/>
    <col min="4614" max="4626" width="8" style="92" customWidth="1"/>
    <col min="4627" max="4627" width="9.42578125" style="92" customWidth="1"/>
    <col min="4628" max="4628" width="6.7109375" style="92" customWidth="1"/>
    <col min="4629" max="4631" width="8.28515625" style="92" customWidth="1"/>
    <col min="4632" max="4632" width="8.7109375" style="92" customWidth="1"/>
    <col min="4633" max="4633" width="6.7109375" style="92" customWidth="1"/>
    <col min="4634" max="4836" width="8.7109375" style="92"/>
    <col min="4837" max="4837" width="5.140625" style="92" customWidth="1"/>
    <col min="4838" max="4838" width="24" style="92" customWidth="1"/>
    <col min="4839" max="4839" width="7.7109375" style="92" customWidth="1"/>
    <col min="4840" max="4840" width="8.7109375" style="92" customWidth="1"/>
    <col min="4841" max="4841" width="8.42578125" style="92" customWidth="1"/>
    <col min="4842" max="4842" width="9.42578125" style="92" customWidth="1"/>
    <col min="4843" max="4843" width="10.140625" style="92" customWidth="1"/>
    <col min="4844" max="4844" width="7.7109375" style="92" customWidth="1"/>
    <col min="4845" max="4846" width="9.42578125" style="92" customWidth="1"/>
    <col min="4847" max="4848" width="9.7109375" style="92" customWidth="1"/>
    <col min="4849" max="4849" width="8.7109375" style="92" customWidth="1"/>
    <col min="4850" max="4850" width="9.42578125" style="92" customWidth="1"/>
    <col min="4851" max="4851" width="6.7109375" style="92" customWidth="1"/>
    <col min="4852" max="4852" width="8.140625" style="92" customWidth="1"/>
    <col min="4853" max="4853" width="10.42578125" style="92" customWidth="1"/>
    <col min="4854" max="4854" width="8.42578125" style="92" customWidth="1"/>
    <col min="4855" max="4855" width="9.7109375" style="92" customWidth="1"/>
    <col min="4856" max="4856" width="9.42578125" style="92" customWidth="1"/>
    <col min="4857" max="4857" width="7.42578125" style="92" customWidth="1"/>
    <col min="4858" max="4858" width="8.42578125" style="92" customWidth="1"/>
    <col min="4859" max="4860" width="8.28515625" style="92" customWidth="1"/>
    <col min="4861" max="4861" width="11.42578125" style="92" customWidth="1"/>
    <col min="4862" max="4862" width="10.42578125" style="92" customWidth="1"/>
    <col min="4863" max="4863" width="9.7109375" style="92" customWidth="1"/>
    <col min="4864" max="4864" width="9.140625" style="92" customWidth="1"/>
    <col min="4865" max="4865" width="9.42578125" style="92" customWidth="1"/>
    <col min="4866" max="4866" width="7.42578125" style="92" customWidth="1"/>
    <col min="4867" max="4867" width="8.42578125" style="92" customWidth="1"/>
    <col min="4868" max="4868" width="8.28515625" style="92" customWidth="1"/>
    <col min="4869" max="4869" width="11.42578125" style="92" customWidth="1"/>
    <col min="4870" max="4882" width="8" style="92" customWidth="1"/>
    <col min="4883" max="4883" width="9.42578125" style="92" customWidth="1"/>
    <col min="4884" max="4884" width="6.7109375" style="92" customWidth="1"/>
    <col min="4885" max="4887" width="8.28515625" style="92" customWidth="1"/>
    <col min="4888" max="4888" width="8.7109375" style="92" customWidth="1"/>
    <col min="4889" max="4889" width="6.7109375" style="92" customWidth="1"/>
    <col min="4890" max="5092" width="8.7109375" style="92"/>
    <col min="5093" max="5093" width="5.140625" style="92" customWidth="1"/>
    <col min="5094" max="5094" width="24" style="92" customWidth="1"/>
    <col min="5095" max="5095" width="7.7109375" style="92" customWidth="1"/>
    <col min="5096" max="5096" width="8.7109375" style="92" customWidth="1"/>
    <col min="5097" max="5097" width="8.42578125" style="92" customWidth="1"/>
    <col min="5098" max="5098" width="9.42578125" style="92" customWidth="1"/>
    <col min="5099" max="5099" width="10.140625" style="92" customWidth="1"/>
    <col min="5100" max="5100" width="7.7109375" style="92" customWidth="1"/>
    <col min="5101" max="5102" width="9.42578125" style="92" customWidth="1"/>
    <col min="5103" max="5104" width="9.7109375" style="92" customWidth="1"/>
    <col min="5105" max="5105" width="8.7109375" style="92" customWidth="1"/>
    <col min="5106" max="5106" width="9.42578125" style="92" customWidth="1"/>
    <col min="5107" max="5107" width="6.7109375" style="92" customWidth="1"/>
    <col min="5108" max="5108" width="8.140625" style="92" customWidth="1"/>
    <col min="5109" max="5109" width="10.42578125" style="92" customWidth="1"/>
    <col min="5110" max="5110" width="8.42578125" style="92" customWidth="1"/>
    <col min="5111" max="5111" width="9.7109375" style="92" customWidth="1"/>
    <col min="5112" max="5112" width="9.42578125" style="92" customWidth="1"/>
    <col min="5113" max="5113" width="7.42578125" style="92" customWidth="1"/>
    <col min="5114" max="5114" width="8.42578125" style="92" customWidth="1"/>
    <col min="5115" max="5116" width="8.28515625" style="92" customWidth="1"/>
    <col min="5117" max="5117" width="11.42578125" style="92" customWidth="1"/>
    <col min="5118" max="5118" width="10.42578125" style="92" customWidth="1"/>
    <col min="5119" max="5119" width="9.7109375" style="92" customWidth="1"/>
    <col min="5120" max="5120" width="9.140625" style="92" customWidth="1"/>
    <col min="5121" max="5121" width="9.42578125" style="92" customWidth="1"/>
    <col min="5122" max="5122" width="7.42578125" style="92" customWidth="1"/>
    <col min="5123" max="5123" width="8.42578125" style="92" customWidth="1"/>
    <col min="5124" max="5124" width="8.28515625" style="92" customWidth="1"/>
    <col min="5125" max="5125" width="11.42578125" style="92" customWidth="1"/>
    <col min="5126" max="5138" width="8" style="92" customWidth="1"/>
    <col min="5139" max="5139" width="9.42578125" style="92" customWidth="1"/>
    <col min="5140" max="5140" width="6.7109375" style="92" customWidth="1"/>
    <col min="5141" max="5143" width="8.28515625" style="92" customWidth="1"/>
    <col min="5144" max="5144" width="8.7109375" style="92" customWidth="1"/>
    <col min="5145" max="5145" width="6.7109375" style="92" customWidth="1"/>
    <col min="5146" max="5348" width="8.7109375" style="92"/>
    <col min="5349" max="5349" width="5.140625" style="92" customWidth="1"/>
    <col min="5350" max="5350" width="24" style="92" customWidth="1"/>
    <col min="5351" max="5351" width="7.7109375" style="92" customWidth="1"/>
    <col min="5352" max="5352" width="8.7109375" style="92" customWidth="1"/>
    <col min="5353" max="5353" width="8.42578125" style="92" customWidth="1"/>
    <col min="5354" max="5354" width="9.42578125" style="92" customWidth="1"/>
    <col min="5355" max="5355" width="10.140625" style="92" customWidth="1"/>
    <col min="5356" max="5356" width="7.7109375" style="92" customWidth="1"/>
    <col min="5357" max="5358" width="9.42578125" style="92" customWidth="1"/>
    <col min="5359" max="5360" width="9.7109375" style="92" customWidth="1"/>
    <col min="5361" max="5361" width="8.7109375" style="92" customWidth="1"/>
    <col min="5362" max="5362" width="9.42578125" style="92" customWidth="1"/>
    <col min="5363" max="5363" width="6.7109375" style="92" customWidth="1"/>
    <col min="5364" max="5364" width="8.140625" style="92" customWidth="1"/>
    <col min="5365" max="5365" width="10.42578125" style="92" customWidth="1"/>
    <col min="5366" max="5366" width="8.42578125" style="92" customWidth="1"/>
    <col min="5367" max="5367" width="9.7109375" style="92" customWidth="1"/>
    <col min="5368" max="5368" width="9.42578125" style="92" customWidth="1"/>
    <col min="5369" max="5369" width="7.42578125" style="92" customWidth="1"/>
    <col min="5370" max="5370" width="8.42578125" style="92" customWidth="1"/>
    <col min="5371" max="5372" width="8.28515625" style="92" customWidth="1"/>
    <col min="5373" max="5373" width="11.42578125" style="92" customWidth="1"/>
    <col min="5374" max="5374" width="10.42578125" style="92" customWidth="1"/>
    <col min="5375" max="5375" width="9.7109375" style="92" customWidth="1"/>
    <col min="5376" max="5376" width="9.140625" style="92" customWidth="1"/>
    <col min="5377" max="5377" width="9.42578125" style="92" customWidth="1"/>
    <col min="5378" max="5378" width="7.42578125" style="92" customWidth="1"/>
    <col min="5379" max="5379" width="8.42578125" style="92" customWidth="1"/>
    <col min="5380" max="5380" width="8.28515625" style="92" customWidth="1"/>
    <col min="5381" max="5381" width="11.42578125" style="92" customWidth="1"/>
    <col min="5382" max="5394" width="8" style="92" customWidth="1"/>
    <col min="5395" max="5395" width="9.42578125" style="92" customWidth="1"/>
    <col min="5396" max="5396" width="6.7109375" style="92" customWidth="1"/>
    <col min="5397" max="5399" width="8.28515625" style="92" customWidth="1"/>
    <col min="5400" max="5400" width="8.7109375" style="92" customWidth="1"/>
    <col min="5401" max="5401" width="6.7109375" style="92" customWidth="1"/>
    <col min="5402" max="5604" width="8.7109375" style="92"/>
    <col min="5605" max="5605" width="5.140625" style="92" customWidth="1"/>
    <col min="5606" max="5606" width="24" style="92" customWidth="1"/>
    <col min="5607" max="5607" width="7.7109375" style="92" customWidth="1"/>
    <col min="5608" max="5608" width="8.7109375" style="92" customWidth="1"/>
    <col min="5609" max="5609" width="8.42578125" style="92" customWidth="1"/>
    <col min="5610" max="5610" width="9.42578125" style="92" customWidth="1"/>
    <col min="5611" max="5611" width="10.140625" style="92" customWidth="1"/>
    <col min="5612" max="5612" width="7.7109375" style="92" customWidth="1"/>
    <col min="5613" max="5614" width="9.42578125" style="92" customWidth="1"/>
    <col min="5615" max="5616" width="9.7109375" style="92" customWidth="1"/>
    <col min="5617" max="5617" width="8.7109375" style="92" customWidth="1"/>
    <col min="5618" max="5618" width="9.42578125" style="92" customWidth="1"/>
    <col min="5619" max="5619" width="6.7109375" style="92" customWidth="1"/>
    <col min="5620" max="5620" width="8.140625" style="92" customWidth="1"/>
    <col min="5621" max="5621" width="10.42578125" style="92" customWidth="1"/>
    <col min="5622" max="5622" width="8.42578125" style="92" customWidth="1"/>
    <col min="5623" max="5623" width="9.7109375" style="92" customWidth="1"/>
    <col min="5624" max="5624" width="9.42578125" style="92" customWidth="1"/>
    <col min="5625" max="5625" width="7.42578125" style="92" customWidth="1"/>
    <col min="5626" max="5626" width="8.42578125" style="92" customWidth="1"/>
    <col min="5627" max="5628" width="8.28515625" style="92" customWidth="1"/>
    <col min="5629" max="5629" width="11.42578125" style="92" customWidth="1"/>
    <col min="5630" max="5630" width="10.42578125" style="92" customWidth="1"/>
    <col min="5631" max="5631" width="9.7109375" style="92" customWidth="1"/>
    <col min="5632" max="5632" width="9.140625" style="92" customWidth="1"/>
    <col min="5633" max="5633" width="9.42578125" style="92" customWidth="1"/>
    <col min="5634" max="5634" width="7.42578125" style="92" customWidth="1"/>
    <col min="5635" max="5635" width="8.42578125" style="92" customWidth="1"/>
    <col min="5636" max="5636" width="8.28515625" style="92" customWidth="1"/>
    <col min="5637" max="5637" width="11.42578125" style="92" customWidth="1"/>
    <col min="5638" max="5650" width="8" style="92" customWidth="1"/>
    <col min="5651" max="5651" width="9.42578125" style="92" customWidth="1"/>
    <col min="5652" max="5652" width="6.7109375" style="92" customWidth="1"/>
    <col min="5653" max="5655" width="8.28515625" style="92" customWidth="1"/>
    <col min="5656" max="5656" width="8.7109375" style="92" customWidth="1"/>
    <col min="5657" max="5657" width="6.7109375" style="92" customWidth="1"/>
    <col min="5658" max="5860" width="8.7109375" style="92"/>
    <col min="5861" max="5861" width="5.140625" style="92" customWidth="1"/>
    <col min="5862" max="5862" width="24" style="92" customWidth="1"/>
    <col min="5863" max="5863" width="7.7109375" style="92" customWidth="1"/>
    <col min="5864" max="5864" width="8.7109375" style="92" customWidth="1"/>
    <col min="5865" max="5865" width="8.42578125" style="92" customWidth="1"/>
    <col min="5866" max="5866" width="9.42578125" style="92" customWidth="1"/>
    <col min="5867" max="5867" width="10.140625" style="92" customWidth="1"/>
    <col min="5868" max="5868" width="7.7109375" style="92" customWidth="1"/>
    <col min="5869" max="5870" width="9.42578125" style="92" customWidth="1"/>
    <col min="5871" max="5872" width="9.7109375" style="92" customWidth="1"/>
    <col min="5873" max="5873" width="8.7109375" style="92" customWidth="1"/>
    <col min="5874" max="5874" width="9.42578125" style="92" customWidth="1"/>
    <col min="5875" max="5875" width="6.7109375" style="92" customWidth="1"/>
    <col min="5876" max="5876" width="8.140625" style="92" customWidth="1"/>
    <col min="5877" max="5877" width="10.42578125" style="92" customWidth="1"/>
    <col min="5878" max="5878" width="8.42578125" style="92" customWidth="1"/>
    <col min="5879" max="5879" width="9.7109375" style="92" customWidth="1"/>
    <col min="5880" max="5880" width="9.42578125" style="92" customWidth="1"/>
    <col min="5881" max="5881" width="7.42578125" style="92" customWidth="1"/>
    <col min="5882" max="5882" width="8.42578125" style="92" customWidth="1"/>
    <col min="5883" max="5884" width="8.28515625" style="92" customWidth="1"/>
    <col min="5885" max="5885" width="11.42578125" style="92" customWidth="1"/>
    <col min="5886" max="5886" width="10.42578125" style="92" customWidth="1"/>
    <col min="5887" max="5887" width="9.7109375" style="92" customWidth="1"/>
    <col min="5888" max="5888" width="9.140625" style="92" customWidth="1"/>
    <col min="5889" max="5889" width="9.42578125" style="92" customWidth="1"/>
    <col min="5890" max="5890" width="7.42578125" style="92" customWidth="1"/>
    <col min="5891" max="5891" width="8.42578125" style="92" customWidth="1"/>
    <col min="5892" max="5892" width="8.28515625" style="92" customWidth="1"/>
    <col min="5893" max="5893" width="11.42578125" style="92" customWidth="1"/>
    <col min="5894" max="5906" width="8" style="92" customWidth="1"/>
    <col min="5907" max="5907" width="9.42578125" style="92" customWidth="1"/>
    <col min="5908" max="5908" width="6.7109375" style="92" customWidth="1"/>
    <col min="5909" max="5911" width="8.28515625" style="92" customWidth="1"/>
    <col min="5912" max="5912" width="8.7109375" style="92" customWidth="1"/>
    <col min="5913" max="5913" width="6.7109375" style="92" customWidth="1"/>
    <col min="5914" max="6116" width="8.7109375" style="92"/>
    <col min="6117" max="6117" width="5.140625" style="92" customWidth="1"/>
    <col min="6118" max="6118" width="24" style="92" customWidth="1"/>
    <col min="6119" max="6119" width="7.7109375" style="92" customWidth="1"/>
    <col min="6120" max="6120" width="8.7109375" style="92" customWidth="1"/>
    <col min="6121" max="6121" width="8.42578125" style="92" customWidth="1"/>
    <col min="6122" max="6122" width="9.42578125" style="92" customWidth="1"/>
    <col min="6123" max="6123" width="10.140625" style="92" customWidth="1"/>
    <col min="6124" max="6124" width="7.7109375" style="92" customWidth="1"/>
    <col min="6125" max="6126" width="9.42578125" style="92" customWidth="1"/>
    <col min="6127" max="6128" width="9.7109375" style="92" customWidth="1"/>
    <col min="6129" max="6129" width="8.7109375" style="92" customWidth="1"/>
    <col min="6130" max="6130" width="9.42578125" style="92" customWidth="1"/>
    <col min="6131" max="6131" width="6.7109375" style="92" customWidth="1"/>
    <col min="6132" max="6132" width="8.140625" style="92" customWidth="1"/>
    <col min="6133" max="6133" width="10.42578125" style="92" customWidth="1"/>
    <col min="6134" max="6134" width="8.42578125" style="92" customWidth="1"/>
    <col min="6135" max="6135" width="9.7109375" style="92" customWidth="1"/>
    <col min="6136" max="6136" width="9.42578125" style="92" customWidth="1"/>
    <col min="6137" max="6137" width="7.42578125" style="92" customWidth="1"/>
    <col min="6138" max="6138" width="8.42578125" style="92" customWidth="1"/>
    <col min="6139" max="6140" width="8.28515625" style="92" customWidth="1"/>
    <col min="6141" max="6141" width="11.42578125" style="92" customWidth="1"/>
    <col min="6142" max="6142" width="10.42578125" style="92" customWidth="1"/>
    <col min="6143" max="6143" width="9.7109375" style="92" customWidth="1"/>
    <col min="6144" max="6144" width="9.140625" style="92" customWidth="1"/>
    <col min="6145" max="6145" width="9.42578125" style="92" customWidth="1"/>
    <col min="6146" max="6146" width="7.42578125" style="92" customWidth="1"/>
    <col min="6147" max="6147" width="8.42578125" style="92" customWidth="1"/>
    <col min="6148" max="6148" width="8.28515625" style="92" customWidth="1"/>
    <col min="6149" max="6149" width="11.42578125" style="92" customWidth="1"/>
    <col min="6150" max="6162" width="8" style="92" customWidth="1"/>
    <col min="6163" max="6163" width="9.42578125" style="92" customWidth="1"/>
    <col min="6164" max="6164" width="6.7109375" style="92" customWidth="1"/>
    <col min="6165" max="6167" width="8.28515625" style="92" customWidth="1"/>
    <col min="6168" max="6168" width="8.7109375" style="92" customWidth="1"/>
    <col min="6169" max="6169" width="6.7109375" style="92" customWidth="1"/>
    <col min="6170" max="6372" width="8.7109375" style="92"/>
    <col min="6373" max="6373" width="5.140625" style="92" customWidth="1"/>
    <col min="6374" max="6374" width="24" style="92" customWidth="1"/>
    <col min="6375" max="6375" width="7.7109375" style="92" customWidth="1"/>
    <col min="6376" max="6376" width="8.7109375" style="92" customWidth="1"/>
    <col min="6377" max="6377" width="8.42578125" style="92" customWidth="1"/>
    <col min="6378" max="6378" width="9.42578125" style="92" customWidth="1"/>
    <col min="6379" max="6379" width="10.140625" style="92" customWidth="1"/>
    <col min="6380" max="6380" width="7.7109375" style="92" customWidth="1"/>
    <col min="6381" max="6382" width="9.42578125" style="92" customWidth="1"/>
    <col min="6383" max="6384" width="9.7109375" style="92" customWidth="1"/>
    <col min="6385" max="6385" width="8.7109375" style="92" customWidth="1"/>
    <col min="6386" max="6386" width="9.42578125" style="92" customWidth="1"/>
    <col min="6387" max="6387" width="6.7109375" style="92" customWidth="1"/>
    <col min="6388" max="6388" width="8.140625" style="92" customWidth="1"/>
    <col min="6389" max="6389" width="10.42578125" style="92" customWidth="1"/>
    <col min="6390" max="6390" width="8.42578125" style="92" customWidth="1"/>
    <col min="6391" max="6391" width="9.7109375" style="92" customWidth="1"/>
    <col min="6392" max="6392" width="9.42578125" style="92" customWidth="1"/>
    <col min="6393" max="6393" width="7.42578125" style="92" customWidth="1"/>
    <col min="6394" max="6394" width="8.42578125" style="92" customWidth="1"/>
    <col min="6395" max="6396" width="8.28515625" style="92" customWidth="1"/>
    <col min="6397" max="6397" width="11.42578125" style="92" customWidth="1"/>
    <col min="6398" max="6398" width="10.42578125" style="92" customWidth="1"/>
    <col min="6399" max="6399" width="9.7109375" style="92" customWidth="1"/>
    <col min="6400" max="6400" width="9.140625" style="92" customWidth="1"/>
    <col min="6401" max="6401" width="9.42578125" style="92" customWidth="1"/>
    <col min="6402" max="6402" width="7.42578125" style="92" customWidth="1"/>
    <col min="6403" max="6403" width="8.42578125" style="92" customWidth="1"/>
    <col min="6404" max="6404" width="8.28515625" style="92" customWidth="1"/>
    <col min="6405" max="6405" width="11.42578125" style="92" customWidth="1"/>
    <col min="6406" max="6418" width="8" style="92" customWidth="1"/>
    <col min="6419" max="6419" width="9.42578125" style="92" customWidth="1"/>
    <col min="6420" max="6420" width="6.7109375" style="92" customWidth="1"/>
    <col min="6421" max="6423" width="8.28515625" style="92" customWidth="1"/>
    <col min="6424" max="6424" width="8.7109375" style="92" customWidth="1"/>
    <col min="6425" max="6425" width="6.7109375" style="92" customWidth="1"/>
    <col min="6426" max="6628" width="8.7109375" style="92"/>
    <col min="6629" max="6629" width="5.140625" style="92" customWidth="1"/>
    <col min="6630" max="6630" width="24" style="92" customWidth="1"/>
    <col min="6631" max="6631" width="7.7109375" style="92" customWidth="1"/>
    <col min="6632" max="6632" width="8.7109375" style="92" customWidth="1"/>
    <col min="6633" max="6633" width="8.42578125" style="92" customWidth="1"/>
    <col min="6634" max="6634" width="9.42578125" style="92" customWidth="1"/>
    <col min="6635" max="6635" width="10.140625" style="92" customWidth="1"/>
    <col min="6636" max="6636" width="7.7109375" style="92" customWidth="1"/>
    <col min="6637" max="6638" width="9.42578125" style="92" customWidth="1"/>
    <col min="6639" max="6640" width="9.7109375" style="92" customWidth="1"/>
    <col min="6641" max="6641" width="8.7109375" style="92" customWidth="1"/>
    <col min="6642" max="6642" width="9.42578125" style="92" customWidth="1"/>
    <col min="6643" max="6643" width="6.7109375" style="92" customWidth="1"/>
    <col min="6644" max="6644" width="8.140625" style="92" customWidth="1"/>
    <col min="6645" max="6645" width="10.42578125" style="92" customWidth="1"/>
    <col min="6646" max="6646" width="8.42578125" style="92" customWidth="1"/>
    <col min="6647" max="6647" width="9.7109375" style="92" customWidth="1"/>
    <col min="6648" max="6648" width="9.42578125" style="92" customWidth="1"/>
    <col min="6649" max="6649" width="7.42578125" style="92" customWidth="1"/>
    <col min="6650" max="6650" width="8.42578125" style="92" customWidth="1"/>
    <col min="6651" max="6652" width="8.28515625" style="92" customWidth="1"/>
    <col min="6653" max="6653" width="11.42578125" style="92" customWidth="1"/>
    <col min="6654" max="6654" width="10.42578125" style="92" customWidth="1"/>
    <col min="6655" max="6655" width="9.7109375" style="92" customWidth="1"/>
    <col min="6656" max="6656" width="9.140625" style="92" customWidth="1"/>
    <col min="6657" max="6657" width="9.42578125" style="92" customWidth="1"/>
    <col min="6658" max="6658" width="7.42578125" style="92" customWidth="1"/>
    <col min="6659" max="6659" width="8.42578125" style="92" customWidth="1"/>
    <col min="6660" max="6660" width="8.28515625" style="92" customWidth="1"/>
    <col min="6661" max="6661" width="11.42578125" style="92" customWidth="1"/>
    <col min="6662" max="6674" width="8" style="92" customWidth="1"/>
    <col min="6675" max="6675" width="9.42578125" style="92" customWidth="1"/>
    <col min="6676" max="6676" width="6.7109375" style="92" customWidth="1"/>
    <col min="6677" max="6679" width="8.28515625" style="92" customWidth="1"/>
    <col min="6680" max="6680" width="8.7109375" style="92" customWidth="1"/>
    <col min="6681" max="6681" width="6.7109375" style="92" customWidth="1"/>
    <col min="6682" max="6884" width="8.7109375" style="92"/>
    <col min="6885" max="6885" width="5.140625" style="92" customWidth="1"/>
    <col min="6886" max="6886" width="24" style="92" customWidth="1"/>
    <col min="6887" max="6887" width="7.7109375" style="92" customWidth="1"/>
    <col min="6888" max="6888" width="8.7109375" style="92" customWidth="1"/>
    <col min="6889" max="6889" width="8.42578125" style="92" customWidth="1"/>
    <col min="6890" max="6890" width="9.42578125" style="92" customWidth="1"/>
    <col min="6891" max="6891" width="10.140625" style="92" customWidth="1"/>
    <col min="6892" max="6892" width="7.7109375" style="92" customWidth="1"/>
    <col min="6893" max="6894" width="9.42578125" style="92" customWidth="1"/>
    <col min="6895" max="6896" width="9.7109375" style="92" customWidth="1"/>
    <col min="6897" max="6897" width="8.7109375" style="92" customWidth="1"/>
    <col min="6898" max="6898" width="9.42578125" style="92" customWidth="1"/>
    <col min="6899" max="6899" width="6.7109375" style="92" customWidth="1"/>
    <col min="6900" max="6900" width="8.140625" style="92" customWidth="1"/>
    <col min="6901" max="6901" width="10.42578125" style="92" customWidth="1"/>
    <col min="6902" max="6902" width="8.42578125" style="92" customWidth="1"/>
    <col min="6903" max="6903" width="9.7109375" style="92" customWidth="1"/>
    <col min="6904" max="6904" width="9.42578125" style="92" customWidth="1"/>
    <col min="6905" max="6905" width="7.42578125" style="92" customWidth="1"/>
    <col min="6906" max="6906" width="8.42578125" style="92" customWidth="1"/>
    <col min="6907" max="6908" width="8.28515625" style="92" customWidth="1"/>
    <col min="6909" max="6909" width="11.42578125" style="92" customWidth="1"/>
    <col min="6910" max="6910" width="10.42578125" style="92" customWidth="1"/>
    <col min="6911" max="6911" width="9.7109375" style="92" customWidth="1"/>
    <col min="6912" max="6912" width="9.140625" style="92" customWidth="1"/>
    <col min="6913" max="6913" width="9.42578125" style="92" customWidth="1"/>
    <col min="6914" max="6914" width="7.42578125" style="92" customWidth="1"/>
    <col min="6915" max="6915" width="8.42578125" style="92" customWidth="1"/>
    <col min="6916" max="6916" width="8.28515625" style="92" customWidth="1"/>
    <col min="6917" max="6917" width="11.42578125" style="92" customWidth="1"/>
    <col min="6918" max="6930" width="8" style="92" customWidth="1"/>
    <col min="6931" max="6931" width="9.42578125" style="92" customWidth="1"/>
    <col min="6932" max="6932" width="6.7109375" style="92" customWidth="1"/>
    <col min="6933" max="6935" width="8.28515625" style="92" customWidth="1"/>
    <col min="6936" max="6936" width="8.7109375" style="92" customWidth="1"/>
    <col min="6937" max="6937" width="6.7109375" style="92" customWidth="1"/>
    <col min="6938" max="7140" width="8.7109375" style="92"/>
    <col min="7141" max="7141" width="5.140625" style="92" customWidth="1"/>
    <col min="7142" max="7142" width="24" style="92" customWidth="1"/>
    <col min="7143" max="7143" width="7.7109375" style="92" customWidth="1"/>
    <col min="7144" max="7144" width="8.7109375" style="92" customWidth="1"/>
    <col min="7145" max="7145" width="8.42578125" style="92" customWidth="1"/>
    <col min="7146" max="7146" width="9.42578125" style="92" customWidth="1"/>
    <col min="7147" max="7147" width="10.140625" style="92" customWidth="1"/>
    <col min="7148" max="7148" width="7.7109375" style="92" customWidth="1"/>
    <col min="7149" max="7150" width="9.42578125" style="92" customWidth="1"/>
    <col min="7151" max="7152" width="9.7109375" style="92" customWidth="1"/>
    <col min="7153" max="7153" width="8.7109375" style="92" customWidth="1"/>
    <col min="7154" max="7154" width="9.42578125" style="92" customWidth="1"/>
    <col min="7155" max="7155" width="6.7109375" style="92" customWidth="1"/>
    <col min="7156" max="7156" width="8.140625" style="92" customWidth="1"/>
    <col min="7157" max="7157" width="10.42578125" style="92" customWidth="1"/>
    <col min="7158" max="7158" width="8.42578125" style="92" customWidth="1"/>
    <col min="7159" max="7159" width="9.7109375" style="92" customWidth="1"/>
    <col min="7160" max="7160" width="9.42578125" style="92" customWidth="1"/>
    <col min="7161" max="7161" width="7.42578125" style="92" customWidth="1"/>
    <col min="7162" max="7162" width="8.42578125" style="92" customWidth="1"/>
    <col min="7163" max="7164" width="8.28515625" style="92" customWidth="1"/>
    <col min="7165" max="7165" width="11.42578125" style="92" customWidth="1"/>
    <col min="7166" max="7166" width="10.42578125" style="92" customWidth="1"/>
    <col min="7167" max="7167" width="9.7109375" style="92" customWidth="1"/>
    <col min="7168" max="7168" width="9.140625" style="92" customWidth="1"/>
    <col min="7169" max="7169" width="9.42578125" style="92" customWidth="1"/>
    <col min="7170" max="7170" width="7.42578125" style="92" customWidth="1"/>
    <col min="7171" max="7171" width="8.42578125" style="92" customWidth="1"/>
    <col min="7172" max="7172" width="8.28515625" style="92" customWidth="1"/>
    <col min="7173" max="7173" width="11.42578125" style="92" customWidth="1"/>
    <col min="7174" max="7186" width="8" style="92" customWidth="1"/>
    <col min="7187" max="7187" width="9.42578125" style="92" customWidth="1"/>
    <col min="7188" max="7188" width="6.7109375" style="92" customWidth="1"/>
    <col min="7189" max="7191" width="8.28515625" style="92" customWidth="1"/>
    <col min="7192" max="7192" width="8.7109375" style="92" customWidth="1"/>
    <col min="7193" max="7193" width="6.7109375" style="92" customWidth="1"/>
    <col min="7194" max="7396" width="8.7109375" style="92"/>
    <col min="7397" max="7397" width="5.140625" style="92" customWidth="1"/>
    <col min="7398" max="7398" width="24" style="92" customWidth="1"/>
    <col min="7399" max="7399" width="7.7109375" style="92" customWidth="1"/>
    <col min="7400" max="7400" width="8.7109375" style="92" customWidth="1"/>
    <col min="7401" max="7401" width="8.42578125" style="92" customWidth="1"/>
    <col min="7402" max="7402" width="9.42578125" style="92" customWidth="1"/>
    <col min="7403" max="7403" width="10.140625" style="92" customWidth="1"/>
    <col min="7404" max="7404" width="7.7109375" style="92" customWidth="1"/>
    <col min="7405" max="7406" width="9.42578125" style="92" customWidth="1"/>
    <col min="7407" max="7408" width="9.7109375" style="92" customWidth="1"/>
    <col min="7409" max="7409" width="8.7109375" style="92" customWidth="1"/>
    <col min="7410" max="7410" width="9.42578125" style="92" customWidth="1"/>
    <col min="7411" max="7411" width="6.7109375" style="92" customWidth="1"/>
    <col min="7412" max="7412" width="8.140625" style="92" customWidth="1"/>
    <col min="7413" max="7413" width="10.42578125" style="92" customWidth="1"/>
    <col min="7414" max="7414" width="8.42578125" style="92" customWidth="1"/>
    <col min="7415" max="7415" width="9.7109375" style="92" customWidth="1"/>
    <col min="7416" max="7416" width="9.42578125" style="92" customWidth="1"/>
    <col min="7417" max="7417" width="7.42578125" style="92" customWidth="1"/>
    <col min="7418" max="7418" width="8.42578125" style="92" customWidth="1"/>
    <col min="7419" max="7420" width="8.28515625" style="92" customWidth="1"/>
    <col min="7421" max="7421" width="11.42578125" style="92" customWidth="1"/>
    <col min="7422" max="7422" width="10.42578125" style="92" customWidth="1"/>
    <col min="7423" max="7423" width="9.7109375" style="92" customWidth="1"/>
    <col min="7424" max="7424" width="9.140625" style="92" customWidth="1"/>
    <col min="7425" max="7425" width="9.42578125" style="92" customWidth="1"/>
    <col min="7426" max="7426" width="7.42578125" style="92" customWidth="1"/>
    <col min="7427" max="7427" width="8.42578125" style="92" customWidth="1"/>
    <col min="7428" max="7428" width="8.28515625" style="92" customWidth="1"/>
    <col min="7429" max="7429" width="11.42578125" style="92" customWidth="1"/>
    <col min="7430" max="7442" width="8" style="92" customWidth="1"/>
    <col min="7443" max="7443" width="9.42578125" style="92" customWidth="1"/>
    <col min="7444" max="7444" width="6.7109375" style="92" customWidth="1"/>
    <col min="7445" max="7447" width="8.28515625" style="92" customWidth="1"/>
    <col min="7448" max="7448" width="8.7109375" style="92" customWidth="1"/>
    <col min="7449" max="7449" width="6.7109375" style="92" customWidth="1"/>
    <col min="7450" max="7652" width="8.7109375" style="92"/>
    <col min="7653" max="7653" width="5.140625" style="92" customWidth="1"/>
    <col min="7654" max="7654" width="24" style="92" customWidth="1"/>
    <col min="7655" max="7655" width="7.7109375" style="92" customWidth="1"/>
    <col min="7656" max="7656" width="8.7109375" style="92" customWidth="1"/>
    <col min="7657" max="7657" width="8.42578125" style="92" customWidth="1"/>
    <col min="7658" max="7658" width="9.42578125" style="92" customWidth="1"/>
    <col min="7659" max="7659" width="10.140625" style="92" customWidth="1"/>
    <col min="7660" max="7660" width="7.7109375" style="92" customWidth="1"/>
    <col min="7661" max="7662" width="9.42578125" style="92" customWidth="1"/>
    <col min="7663" max="7664" width="9.7109375" style="92" customWidth="1"/>
    <col min="7665" max="7665" width="8.7109375" style="92" customWidth="1"/>
    <col min="7666" max="7666" width="9.42578125" style="92" customWidth="1"/>
    <col min="7667" max="7667" width="6.7109375" style="92" customWidth="1"/>
    <col min="7668" max="7668" width="8.140625" style="92" customWidth="1"/>
    <col min="7669" max="7669" width="10.42578125" style="92" customWidth="1"/>
    <col min="7670" max="7670" width="8.42578125" style="92" customWidth="1"/>
    <col min="7671" max="7671" width="9.7109375" style="92" customWidth="1"/>
    <col min="7672" max="7672" width="9.42578125" style="92" customWidth="1"/>
    <col min="7673" max="7673" width="7.42578125" style="92" customWidth="1"/>
    <col min="7674" max="7674" width="8.42578125" style="92" customWidth="1"/>
    <col min="7675" max="7676" width="8.28515625" style="92" customWidth="1"/>
    <col min="7677" max="7677" width="11.42578125" style="92" customWidth="1"/>
    <col min="7678" max="7678" width="10.42578125" style="92" customWidth="1"/>
    <col min="7679" max="7679" width="9.7109375" style="92" customWidth="1"/>
    <col min="7680" max="7680" width="9.140625" style="92" customWidth="1"/>
    <col min="7681" max="7681" width="9.42578125" style="92" customWidth="1"/>
    <col min="7682" max="7682" width="7.42578125" style="92" customWidth="1"/>
    <col min="7683" max="7683" width="8.42578125" style="92" customWidth="1"/>
    <col min="7684" max="7684" width="8.28515625" style="92" customWidth="1"/>
    <col min="7685" max="7685" width="11.42578125" style="92" customWidth="1"/>
    <col min="7686" max="7698" width="8" style="92" customWidth="1"/>
    <col min="7699" max="7699" width="9.42578125" style="92" customWidth="1"/>
    <col min="7700" max="7700" width="6.7109375" style="92" customWidth="1"/>
    <col min="7701" max="7703" width="8.28515625" style="92" customWidth="1"/>
    <col min="7704" max="7704" width="8.7109375" style="92" customWidth="1"/>
    <col min="7705" max="7705" width="6.7109375" style="92" customWidth="1"/>
    <col min="7706" max="7908" width="8.7109375" style="92"/>
    <col min="7909" max="7909" width="5.140625" style="92" customWidth="1"/>
    <col min="7910" max="7910" width="24" style="92" customWidth="1"/>
    <col min="7911" max="7911" width="7.7109375" style="92" customWidth="1"/>
    <col min="7912" max="7912" width="8.7109375" style="92" customWidth="1"/>
    <col min="7913" max="7913" width="8.42578125" style="92" customWidth="1"/>
    <col min="7914" max="7914" width="9.42578125" style="92" customWidth="1"/>
    <col min="7915" max="7915" width="10.140625" style="92" customWidth="1"/>
    <col min="7916" max="7916" width="7.7109375" style="92" customWidth="1"/>
    <col min="7917" max="7918" width="9.42578125" style="92" customWidth="1"/>
    <col min="7919" max="7920" width="9.7109375" style="92" customWidth="1"/>
    <col min="7921" max="7921" width="8.7109375" style="92" customWidth="1"/>
    <col min="7922" max="7922" width="9.42578125" style="92" customWidth="1"/>
    <col min="7923" max="7923" width="6.7109375" style="92" customWidth="1"/>
    <col min="7924" max="7924" width="8.140625" style="92" customWidth="1"/>
    <col min="7925" max="7925" width="10.42578125" style="92" customWidth="1"/>
    <col min="7926" max="7926" width="8.42578125" style="92" customWidth="1"/>
    <col min="7927" max="7927" width="9.7109375" style="92" customWidth="1"/>
    <col min="7928" max="7928" width="9.42578125" style="92" customWidth="1"/>
    <col min="7929" max="7929" width="7.42578125" style="92" customWidth="1"/>
    <col min="7930" max="7930" width="8.42578125" style="92" customWidth="1"/>
    <col min="7931" max="7932" width="8.28515625" style="92" customWidth="1"/>
    <col min="7933" max="7933" width="11.42578125" style="92" customWidth="1"/>
    <col min="7934" max="7934" width="10.42578125" style="92" customWidth="1"/>
    <col min="7935" max="7935" width="9.7109375" style="92" customWidth="1"/>
    <col min="7936" max="7936" width="9.140625" style="92" customWidth="1"/>
    <col min="7937" max="7937" width="9.42578125" style="92" customWidth="1"/>
    <col min="7938" max="7938" width="7.42578125" style="92" customWidth="1"/>
    <col min="7939" max="7939" width="8.42578125" style="92" customWidth="1"/>
    <col min="7940" max="7940" width="8.28515625" style="92" customWidth="1"/>
    <col min="7941" max="7941" width="11.42578125" style="92" customWidth="1"/>
    <col min="7942" max="7954" width="8" style="92" customWidth="1"/>
    <col min="7955" max="7955" width="9.42578125" style="92" customWidth="1"/>
    <col min="7956" max="7956" width="6.7109375" style="92" customWidth="1"/>
    <col min="7957" max="7959" width="8.28515625" style="92" customWidth="1"/>
    <col min="7960" max="7960" width="8.7109375" style="92" customWidth="1"/>
    <col min="7961" max="7961" width="6.7109375" style="92" customWidth="1"/>
    <col min="7962" max="8164" width="8.7109375" style="92"/>
    <col min="8165" max="8165" width="5.140625" style="92" customWidth="1"/>
    <col min="8166" max="8166" width="24" style="92" customWidth="1"/>
    <col min="8167" max="8167" width="7.7109375" style="92" customWidth="1"/>
    <col min="8168" max="8168" width="8.7109375" style="92" customWidth="1"/>
    <col min="8169" max="8169" width="8.42578125" style="92" customWidth="1"/>
    <col min="8170" max="8170" width="9.42578125" style="92" customWidth="1"/>
    <col min="8171" max="8171" width="10.140625" style="92" customWidth="1"/>
    <col min="8172" max="8172" width="7.7109375" style="92" customWidth="1"/>
    <col min="8173" max="8174" width="9.42578125" style="92" customWidth="1"/>
    <col min="8175" max="8176" width="9.7109375" style="92" customWidth="1"/>
    <col min="8177" max="8177" width="8.7109375" style="92" customWidth="1"/>
    <col min="8178" max="8178" width="9.42578125" style="92" customWidth="1"/>
    <col min="8179" max="8179" width="6.7109375" style="92" customWidth="1"/>
    <col min="8180" max="8180" width="8.140625" style="92" customWidth="1"/>
    <col min="8181" max="8181" width="10.42578125" style="92" customWidth="1"/>
    <col min="8182" max="8182" width="8.42578125" style="92" customWidth="1"/>
    <col min="8183" max="8183" width="9.7109375" style="92" customWidth="1"/>
    <col min="8184" max="8184" width="9.42578125" style="92" customWidth="1"/>
    <col min="8185" max="8185" width="7.42578125" style="92" customWidth="1"/>
    <col min="8186" max="8186" width="8.42578125" style="92" customWidth="1"/>
    <col min="8187" max="8188" width="8.28515625" style="92" customWidth="1"/>
    <col min="8189" max="8189" width="11.42578125" style="92" customWidth="1"/>
    <col min="8190" max="8190" width="10.42578125" style="92" customWidth="1"/>
    <col min="8191" max="8191" width="9.7109375" style="92" customWidth="1"/>
    <col min="8192" max="8192" width="9.140625" style="92" customWidth="1"/>
    <col min="8193" max="8193" width="9.42578125" style="92" customWidth="1"/>
    <col min="8194" max="8194" width="7.42578125" style="92" customWidth="1"/>
    <col min="8195" max="8195" width="8.42578125" style="92" customWidth="1"/>
    <col min="8196" max="8196" width="8.28515625" style="92" customWidth="1"/>
    <col min="8197" max="8197" width="11.42578125" style="92" customWidth="1"/>
    <col min="8198" max="8210" width="8" style="92" customWidth="1"/>
    <col min="8211" max="8211" width="9.42578125" style="92" customWidth="1"/>
    <col min="8212" max="8212" width="6.7109375" style="92" customWidth="1"/>
    <col min="8213" max="8215" width="8.28515625" style="92" customWidth="1"/>
    <col min="8216" max="8216" width="8.7109375" style="92" customWidth="1"/>
    <col min="8217" max="8217" width="6.7109375" style="92" customWidth="1"/>
    <col min="8218" max="8420" width="8.7109375" style="92"/>
    <col min="8421" max="8421" width="5.140625" style="92" customWidth="1"/>
    <col min="8422" max="8422" width="24" style="92" customWidth="1"/>
    <col min="8423" max="8423" width="7.7109375" style="92" customWidth="1"/>
    <col min="8424" max="8424" width="8.7109375" style="92" customWidth="1"/>
    <col min="8425" max="8425" width="8.42578125" style="92" customWidth="1"/>
    <col min="8426" max="8426" width="9.42578125" style="92" customWidth="1"/>
    <col min="8427" max="8427" width="10.140625" style="92" customWidth="1"/>
    <col min="8428" max="8428" width="7.7109375" style="92" customWidth="1"/>
    <col min="8429" max="8430" width="9.42578125" style="92" customWidth="1"/>
    <col min="8431" max="8432" width="9.7109375" style="92" customWidth="1"/>
    <col min="8433" max="8433" width="8.7109375" style="92" customWidth="1"/>
    <col min="8434" max="8434" width="9.42578125" style="92" customWidth="1"/>
    <col min="8435" max="8435" width="6.7109375" style="92" customWidth="1"/>
    <col min="8436" max="8436" width="8.140625" style="92" customWidth="1"/>
    <col min="8437" max="8437" width="10.42578125" style="92" customWidth="1"/>
    <col min="8438" max="8438" width="8.42578125" style="92" customWidth="1"/>
    <col min="8439" max="8439" width="9.7109375" style="92" customWidth="1"/>
    <col min="8440" max="8440" width="9.42578125" style="92" customWidth="1"/>
    <col min="8441" max="8441" width="7.42578125" style="92" customWidth="1"/>
    <col min="8442" max="8442" width="8.42578125" style="92" customWidth="1"/>
    <col min="8443" max="8444" width="8.28515625" style="92" customWidth="1"/>
    <col min="8445" max="8445" width="11.42578125" style="92" customWidth="1"/>
    <col min="8446" max="8446" width="10.42578125" style="92" customWidth="1"/>
    <col min="8447" max="8447" width="9.7109375" style="92" customWidth="1"/>
    <col min="8448" max="8448" width="9.140625" style="92" customWidth="1"/>
    <col min="8449" max="8449" width="9.42578125" style="92" customWidth="1"/>
    <col min="8450" max="8450" width="7.42578125" style="92" customWidth="1"/>
    <col min="8451" max="8451" width="8.42578125" style="92" customWidth="1"/>
    <col min="8452" max="8452" width="8.28515625" style="92" customWidth="1"/>
    <col min="8453" max="8453" width="11.42578125" style="92" customWidth="1"/>
    <col min="8454" max="8466" width="8" style="92" customWidth="1"/>
    <col min="8467" max="8467" width="9.42578125" style="92" customWidth="1"/>
    <col min="8468" max="8468" width="6.7109375" style="92" customWidth="1"/>
    <col min="8469" max="8471" width="8.28515625" style="92" customWidth="1"/>
    <col min="8472" max="8472" width="8.7109375" style="92" customWidth="1"/>
    <col min="8473" max="8473" width="6.7109375" style="92" customWidth="1"/>
    <col min="8474" max="8676" width="8.7109375" style="92"/>
    <col min="8677" max="8677" width="5.140625" style="92" customWidth="1"/>
    <col min="8678" max="8678" width="24" style="92" customWidth="1"/>
    <col min="8679" max="8679" width="7.7109375" style="92" customWidth="1"/>
    <col min="8680" max="8680" width="8.7109375" style="92" customWidth="1"/>
    <col min="8681" max="8681" width="8.42578125" style="92" customWidth="1"/>
    <col min="8682" max="8682" width="9.42578125" style="92" customWidth="1"/>
    <col min="8683" max="8683" width="10.140625" style="92" customWidth="1"/>
    <col min="8684" max="8684" width="7.7109375" style="92" customWidth="1"/>
    <col min="8685" max="8686" width="9.42578125" style="92" customWidth="1"/>
    <col min="8687" max="8688" width="9.7109375" style="92" customWidth="1"/>
    <col min="8689" max="8689" width="8.7109375" style="92" customWidth="1"/>
    <col min="8690" max="8690" width="9.42578125" style="92" customWidth="1"/>
    <col min="8691" max="8691" width="6.7109375" style="92" customWidth="1"/>
    <col min="8692" max="8692" width="8.140625" style="92" customWidth="1"/>
    <col min="8693" max="8693" width="10.42578125" style="92" customWidth="1"/>
    <col min="8694" max="8694" width="8.42578125" style="92" customWidth="1"/>
    <col min="8695" max="8695" width="9.7109375" style="92" customWidth="1"/>
    <col min="8696" max="8696" width="9.42578125" style="92" customWidth="1"/>
    <col min="8697" max="8697" width="7.42578125" style="92" customWidth="1"/>
    <col min="8698" max="8698" width="8.42578125" style="92" customWidth="1"/>
    <col min="8699" max="8700" width="8.28515625" style="92" customWidth="1"/>
    <col min="8701" max="8701" width="11.42578125" style="92" customWidth="1"/>
    <col min="8702" max="8702" width="10.42578125" style="92" customWidth="1"/>
    <col min="8703" max="8703" width="9.7109375" style="92" customWidth="1"/>
    <col min="8704" max="8704" width="9.140625" style="92" customWidth="1"/>
    <col min="8705" max="8705" width="9.42578125" style="92" customWidth="1"/>
    <col min="8706" max="8706" width="7.42578125" style="92" customWidth="1"/>
    <col min="8707" max="8707" width="8.42578125" style="92" customWidth="1"/>
    <col min="8708" max="8708" width="8.28515625" style="92" customWidth="1"/>
    <col min="8709" max="8709" width="11.42578125" style="92" customWidth="1"/>
    <col min="8710" max="8722" width="8" style="92" customWidth="1"/>
    <col min="8723" max="8723" width="9.42578125" style="92" customWidth="1"/>
    <col min="8724" max="8724" width="6.7109375" style="92" customWidth="1"/>
    <col min="8725" max="8727" width="8.28515625" style="92" customWidth="1"/>
    <col min="8728" max="8728" width="8.7109375" style="92" customWidth="1"/>
    <col min="8729" max="8729" width="6.7109375" style="92" customWidth="1"/>
    <col min="8730" max="8932" width="8.7109375" style="92"/>
    <col min="8933" max="8933" width="5.140625" style="92" customWidth="1"/>
    <col min="8934" max="8934" width="24" style="92" customWidth="1"/>
    <col min="8935" max="8935" width="7.7109375" style="92" customWidth="1"/>
    <col min="8936" max="8936" width="8.7109375" style="92" customWidth="1"/>
    <col min="8937" max="8937" width="8.42578125" style="92" customWidth="1"/>
    <col min="8938" max="8938" width="9.42578125" style="92" customWidth="1"/>
    <col min="8939" max="8939" width="10.140625" style="92" customWidth="1"/>
    <col min="8940" max="8940" width="7.7109375" style="92" customWidth="1"/>
    <col min="8941" max="8942" width="9.42578125" style="92" customWidth="1"/>
    <col min="8943" max="8944" width="9.7109375" style="92" customWidth="1"/>
    <col min="8945" max="8945" width="8.7109375" style="92" customWidth="1"/>
    <col min="8946" max="8946" width="9.42578125" style="92" customWidth="1"/>
    <col min="8947" max="8947" width="6.7109375" style="92" customWidth="1"/>
    <col min="8948" max="8948" width="8.140625" style="92" customWidth="1"/>
    <col min="8949" max="8949" width="10.42578125" style="92" customWidth="1"/>
    <col min="8950" max="8950" width="8.42578125" style="92" customWidth="1"/>
    <col min="8951" max="8951" width="9.7109375" style="92" customWidth="1"/>
    <col min="8952" max="8952" width="9.42578125" style="92" customWidth="1"/>
    <col min="8953" max="8953" width="7.42578125" style="92" customWidth="1"/>
    <col min="8954" max="8954" width="8.42578125" style="92" customWidth="1"/>
    <col min="8955" max="8956" width="8.28515625" style="92" customWidth="1"/>
    <col min="8957" max="8957" width="11.42578125" style="92" customWidth="1"/>
    <col min="8958" max="8958" width="10.42578125" style="92" customWidth="1"/>
    <col min="8959" max="8959" width="9.7109375" style="92" customWidth="1"/>
    <col min="8960" max="8960" width="9.140625" style="92" customWidth="1"/>
    <col min="8961" max="8961" width="9.42578125" style="92" customWidth="1"/>
    <col min="8962" max="8962" width="7.42578125" style="92" customWidth="1"/>
    <col min="8963" max="8963" width="8.42578125" style="92" customWidth="1"/>
    <col min="8964" max="8964" width="8.28515625" style="92" customWidth="1"/>
    <col min="8965" max="8965" width="11.42578125" style="92" customWidth="1"/>
    <col min="8966" max="8978" width="8" style="92" customWidth="1"/>
    <col min="8979" max="8979" width="9.42578125" style="92" customWidth="1"/>
    <col min="8980" max="8980" width="6.7109375" style="92" customWidth="1"/>
    <col min="8981" max="8983" width="8.28515625" style="92" customWidth="1"/>
    <col min="8984" max="8984" width="8.7109375" style="92" customWidth="1"/>
    <col min="8985" max="8985" width="6.7109375" style="92" customWidth="1"/>
    <col min="8986" max="9188" width="8.7109375" style="92"/>
    <col min="9189" max="9189" width="5.140625" style="92" customWidth="1"/>
    <col min="9190" max="9190" width="24" style="92" customWidth="1"/>
    <col min="9191" max="9191" width="7.7109375" style="92" customWidth="1"/>
    <col min="9192" max="9192" width="8.7109375" style="92" customWidth="1"/>
    <col min="9193" max="9193" width="8.42578125" style="92" customWidth="1"/>
    <col min="9194" max="9194" width="9.42578125" style="92" customWidth="1"/>
    <col min="9195" max="9195" width="10.140625" style="92" customWidth="1"/>
    <col min="9196" max="9196" width="7.7109375" style="92" customWidth="1"/>
    <col min="9197" max="9198" width="9.42578125" style="92" customWidth="1"/>
    <col min="9199" max="9200" width="9.7109375" style="92" customWidth="1"/>
    <col min="9201" max="9201" width="8.7109375" style="92" customWidth="1"/>
    <col min="9202" max="9202" width="9.42578125" style="92" customWidth="1"/>
    <col min="9203" max="9203" width="6.7109375" style="92" customWidth="1"/>
    <col min="9204" max="9204" width="8.140625" style="92" customWidth="1"/>
    <col min="9205" max="9205" width="10.42578125" style="92" customWidth="1"/>
    <col min="9206" max="9206" width="8.42578125" style="92" customWidth="1"/>
    <col min="9207" max="9207" width="9.7109375" style="92" customWidth="1"/>
    <col min="9208" max="9208" width="9.42578125" style="92" customWidth="1"/>
    <col min="9209" max="9209" width="7.42578125" style="92" customWidth="1"/>
    <col min="9210" max="9210" width="8.42578125" style="92" customWidth="1"/>
    <col min="9211" max="9212" width="8.28515625" style="92" customWidth="1"/>
    <col min="9213" max="9213" width="11.42578125" style="92" customWidth="1"/>
    <col min="9214" max="9214" width="10.42578125" style="92" customWidth="1"/>
    <col min="9215" max="9215" width="9.7109375" style="92" customWidth="1"/>
    <col min="9216" max="9216" width="9.140625" style="92" customWidth="1"/>
    <col min="9217" max="9217" width="9.42578125" style="92" customWidth="1"/>
    <col min="9218" max="9218" width="7.42578125" style="92" customWidth="1"/>
    <col min="9219" max="9219" width="8.42578125" style="92" customWidth="1"/>
    <col min="9220" max="9220" width="8.28515625" style="92" customWidth="1"/>
    <col min="9221" max="9221" width="11.42578125" style="92" customWidth="1"/>
    <col min="9222" max="9234" width="8" style="92" customWidth="1"/>
    <col min="9235" max="9235" width="9.42578125" style="92" customWidth="1"/>
    <col min="9236" max="9236" width="6.7109375" style="92" customWidth="1"/>
    <col min="9237" max="9239" width="8.28515625" style="92" customWidth="1"/>
    <col min="9240" max="9240" width="8.7109375" style="92" customWidth="1"/>
    <col min="9241" max="9241" width="6.7109375" style="92" customWidth="1"/>
    <col min="9242" max="9444" width="8.7109375" style="92"/>
    <col min="9445" max="9445" width="5.140625" style="92" customWidth="1"/>
    <col min="9446" max="9446" width="24" style="92" customWidth="1"/>
    <col min="9447" max="9447" width="7.7109375" style="92" customWidth="1"/>
    <col min="9448" max="9448" width="8.7109375" style="92" customWidth="1"/>
    <col min="9449" max="9449" width="8.42578125" style="92" customWidth="1"/>
    <col min="9450" max="9450" width="9.42578125" style="92" customWidth="1"/>
    <col min="9451" max="9451" width="10.140625" style="92" customWidth="1"/>
    <col min="9452" max="9452" width="7.7109375" style="92" customWidth="1"/>
    <col min="9453" max="9454" width="9.42578125" style="92" customWidth="1"/>
    <col min="9455" max="9456" width="9.7109375" style="92" customWidth="1"/>
    <col min="9457" max="9457" width="8.7109375" style="92" customWidth="1"/>
    <col min="9458" max="9458" width="9.42578125" style="92" customWidth="1"/>
    <col min="9459" max="9459" width="6.7109375" style="92" customWidth="1"/>
    <col min="9460" max="9460" width="8.140625" style="92" customWidth="1"/>
    <col min="9461" max="9461" width="10.42578125" style="92" customWidth="1"/>
    <col min="9462" max="9462" width="8.42578125" style="92" customWidth="1"/>
    <col min="9463" max="9463" width="9.7109375" style="92" customWidth="1"/>
    <col min="9464" max="9464" width="9.42578125" style="92" customWidth="1"/>
    <col min="9465" max="9465" width="7.42578125" style="92" customWidth="1"/>
    <col min="9466" max="9466" width="8.42578125" style="92" customWidth="1"/>
    <col min="9467" max="9468" width="8.28515625" style="92" customWidth="1"/>
    <col min="9469" max="9469" width="11.42578125" style="92" customWidth="1"/>
    <col min="9470" max="9470" width="10.42578125" style="92" customWidth="1"/>
    <col min="9471" max="9471" width="9.7109375" style="92" customWidth="1"/>
    <col min="9472" max="9472" width="9.140625" style="92" customWidth="1"/>
    <col min="9473" max="9473" width="9.42578125" style="92" customWidth="1"/>
    <col min="9474" max="9474" width="7.42578125" style="92" customWidth="1"/>
    <col min="9475" max="9475" width="8.42578125" style="92" customWidth="1"/>
    <col min="9476" max="9476" width="8.28515625" style="92" customWidth="1"/>
    <col min="9477" max="9477" width="11.42578125" style="92" customWidth="1"/>
    <col min="9478" max="9490" width="8" style="92" customWidth="1"/>
    <col min="9491" max="9491" width="9.42578125" style="92" customWidth="1"/>
    <col min="9492" max="9492" width="6.7109375" style="92" customWidth="1"/>
    <col min="9493" max="9495" width="8.28515625" style="92" customWidth="1"/>
    <col min="9496" max="9496" width="8.7109375" style="92" customWidth="1"/>
    <col min="9497" max="9497" width="6.7109375" style="92" customWidth="1"/>
    <col min="9498" max="9700" width="8.7109375" style="92"/>
    <col min="9701" max="9701" width="5.140625" style="92" customWidth="1"/>
    <col min="9702" max="9702" width="24" style="92" customWidth="1"/>
    <col min="9703" max="9703" width="7.7109375" style="92" customWidth="1"/>
    <col min="9704" max="9704" width="8.7109375" style="92" customWidth="1"/>
    <col min="9705" max="9705" width="8.42578125" style="92" customWidth="1"/>
    <col min="9706" max="9706" width="9.42578125" style="92" customWidth="1"/>
    <col min="9707" max="9707" width="10.140625" style="92" customWidth="1"/>
    <col min="9708" max="9708" width="7.7109375" style="92" customWidth="1"/>
    <col min="9709" max="9710" width="9.42578125" style="92" customWidth="1"/>
    <col min="9711" max="9712" width="9.7109375" style="92" customWidth="1"/>
    <col min="9713" max="9713" width="8.7109375" style="92" customWidth="1"/>
    <col min="9714" max="9714" width="9.42578125" style="92" customWidth="1"/>
    <col min="9715" max="9715" width="6.7109375" style="92" customWidth="1"/>
    <col min="9716" max="9716" width="8.140625" style="92" customWidth="1"/>
    <col min="9717" max="9717" width="10.42578125" style="92" customWidth="1"/>
    <col min="9718" max="9718" width="8.42578125" style="92" customWidth="1"/>
    <col min="9719" max="9719" width="9.7109375" style="92" customWidth="1"/>
    <col min="9720" max="9720" width="9.42578125" style="92" customWidth="1"/>
    <col min="9721" max="9721" width="7.42578125" style="92" customWidth="1"/>
    <col min="9722" max="9722" width="8.42578125" style="92" customWidth="1"/>
    <col min="9723" max="9724" width="8.28515625" style="92" customWidth="1"/>
    <col min="9725" max="9725" width="11.42578125" style="92" customWidth="1"/>
    <col min="9726" max="9726" width="10.42578125" style="92" customWidth="1"/>
    <col min="9727" max="9727" width="9.7109375" style="92" customWidth="1"/>
    <col min="9728" max="9728" width="9.140625" style="92" customWidth="1"/>
    <col min="9729" max="9729" width="9.42578125" style="92" customWidth="1"/>
    <col min="9730" max="9730" width="7.42578125" style="92" customWidth="1"/>
    <col min="9731" max="9731" width="8.42578125" style="92" customWidth="1"/>
    <col min="9732" max="9732" width="8.28515625" style="92" customWidth="1"/>
    <col min="9733" max="9733" width="11.42578125" style="92" customWidth="1"/>
    <col min="9734" max="9746" width="8" style="92" customWidth="1"/>
    <col min="9747" max="9747" width="9.42578125" style="92" customWidth="1"/>
    <col min="9748" max="9748" width="6.7109375" style="92" customWidth="1"/>
    <col min="9749" max="9751" width="8.28515625" style="92" customWidth="1"/>
    <col min="9752" max="9752" width="8.7109375" style="92" customWidth="1"/>
    <col min="9753" max="9753" width="6.7109375" style="92" customWidth="1"/>
    <col min="9754" max="9956" width="8.7109375" style="92"/>
    <col min="9957" max="9957" width="5.140625" style="92" customWidth="1"/>
    <col min="9958" max="9958" width="24" style="92" customWidth="1"/>
    <col min="9959" max="9959" width="7.7109375" style="92" customWidth="1"/>
    <col min="9960" max="9960" width="8.7109375" style="92" customWidth="1"/>
    <col min="9961" max="9961" width="8.42578125" style="92" customWidth="1"/>
    <col min="9962" max="9962" width="9.42578125" style="92" customWidth="1"/>
    <col min="9963" max="9963" width="10.140625" style="92" customWidth="1"/>
    <col min="9964" max="9964" width="7.7109375" style="92" customWidth="1"/>
    <col min="9965" max="9966" width="9.42578125" style="92" customWidth="1"/>
    <col min="9967" max="9968" width="9.7109375" style="92" customWidth="1"/>
    <col min="9969" max="9969" width="8.7109375" style="92" customWidth="1"/>
    <col min="9970" max="9970" width="9.42578125" style="92" customWidth="1"/>
    <col min="9971" max="9971" width="6.7109375" style="92" customWidth="1"/>
    <col min="9972" max="9972" width="8.140625" style="92" customWidth="1"/>
    <col min="9973" max="9973" width="10.42578125" style="92" customWidth="1"/>
    <col min="9974" max="9974" width="8.42578125" style="92" customWidth="1"/>
    <col min="9975" max="9975" width="9.7109375" style="92" customWidth="1"/>
    <col min="9976" max="9976" width="9.42578125" style="92" customWidth="1"/>
    <col min="9977" max="9977" width="7.42578125" style="92" customWidth="1"/>
    <col min="9978" max="9978" width="8.42578125" style="92" customWidth="1"/>
    <col min="9979" max="9980" width="8.28515625" style="92" customWidth="1"/>
    <col min="9981" max="9981" width="11.42578125" style="92" customWidth="1"/>
    <col min="9982" max="9982" width="10.42578125" style="92" customWidth="1"/>
    <col min="9983" max="9983" width="9.7109375" style="92" customWidth="1"/>
    <col min="9984" max="9984" width="9.140625" style="92" customWidth="1"/>
    <col min="9985" max="9985" width="9.42578125" style="92" customWidth="1"/>
    <col min="9986" max="9986" width="7.42578125" style="92" customWidth="1"/>
    <col min="9987" max="9987" width="8.42578125" style="92" customWidth="1"/>
    <col min="9988" max="9988" width="8.28515625" style="92" customWidth="1"/>
    <col min="9989" max="9989" width="11.42578125" style="92" customWidth="1"/>
    <col min="9990" max="10002" width="8" style="92" customWidth="1"/>
    <col min="10003" max="10003" width="9.42578125" style="92" customWidth="1"/>
    <col min="10004" max="10004" width="6.7109375" style="92" customWidth="1"/>
    <col min="10005" max="10007" width="8.28515625" style="92" customWidth="1"/>
    <col min="10008" max="10008" width="8.7109375" style="92" customWidth="1"/>
    <col min="10009" max="10009" width="6.7109375" style="92" customWidth="1"/>
    <col min="10010" max="10212" width="8.7109375" style="92"/>
    <col min="10213" max="10213" width="5.140625" style="92" customWidth="1"/>
    <col min="10214" max="10214" width="24" style="92" customWidth="1"/>
    <col min="10215" max="10215" width="7.7109375" style="92" customWidth="1"/>
    <col min="10216" max="10216" width="8.7109375" style="92" customWidth="1"/>
    <col min="10217" max="10217" width="8.42578125" style="92" customWidth="1"/>
    <col min="10218" max="10218" width="9.42578125" style="92" customWidth="1"/>
    <col min="10219" max="10219" width="10.140625" style="92" customWidth="1"/>
    <col min="10220" max="10220" width="7.7109375" style="92" customWidth="1"/>
    <col min="10221" max="10222" width="9.42578125" style="92" customWidth="1"/>
    <col min="10223" max="10224" width="9.7109375" style="92" customWidth="1"/>
    <col min="10225" max="10225" width="8.7109375" style="92" customWidth="1"/>
    <col min="10226" max="10226" width="9.42578125" style="92" customWidth="1"/>
    <col min="10227" max="10227" width="6.7109375" style="92" customWidth="1"/>
    <col min="10228" max="10228" width="8.140625" style="92" customWidth="1"/>
    <col min="10229" max="10229" width="10.42578125" style="92" customWidth="1"/>
    <col min="10230" max="10230" width="8.42578125" style="92" customWidth="1"/>
    <col min="10231" max="10231" width="9.7109375" style="92" customWidth="1"/>
    <col min="10232" max="10232" width="9.42578125" style="92" customWidth="1"/>
    <col min="10233" max="10233" width="7.42578125" style="92" customWidth="1"/>
    <col min="10234" max="10234" width="8.42578125" style="92" customWidth="1"/>
    <col min="10235" max="10236" width="8.28515625" style="92" customWidth="1"/>
    <col min="10237" max="10237" width="11.42578125" style="92" customWidth="1"/>
    <col min="10238" max="10238" width="10.42578125" style="92" customWidth="1"/>
    <col min="10239" max="10239" width="9.7109375" style="92" customWidth="1"/>
    <col min="10240" max="10240" width="9.140625" style="92" customWidth="1"/>
    <col min="10241" max="10241" width="9.42578125" style="92" customWidth="1"/>
    <col min="10242" max="10242" width="7.42578125" style="92" customWidth="1"/>
    <col min="10243" max="10243" width="8.42578125" style="92" customWidth="1"/>
    <col min="10244" max="10244" width="8.28515625" style="92" customWidth="1"/>
    <col min="10245" max="10245" width="11.42578125" style="92" customWidth="1"/>
    <col min="10246" max="10258" width="8" style="92" customWidth="1"/>
    <col min="10259" max="10259" width="9.42578125" style="92" customWidth="1"/>
    <col min="10260" max="10260" width="6.7109375" style="92" customWidth="1"/>
    <col min="10261" max="10263" width="8.28515625" style="92" customWidth="1"/>
    <col min="10264" max="10264" width="8.7109375" style="92" customWidth="1"/>
    <col min="10265" max="10265" width="6.7109375" style="92" customWidth="1"/>
    <col min="10266" max="10468" width="8.7109375" style="92"/>
    <col min="10469" max="10469" width="5.140625" style="92" customWidth="1"/>
    <col min="10470" max="10470" width="24" style="92" customWidth="1"/>
    <col min="10471" max="10471" width="7.7109375" style="92" customWidth="1"/>
    <col min="10472" max="10472" width="8.7109375" style="92" customWidth="1"/>
    <col min="10473" max="10473" width="8.42578125" style="92" customWidth="1"/>
    <col min="10474" max="10474" width="9.42578125" style="92" customWidth="1"/>
    <col min="10475" max="10475" width="10.140625" style="92" customWidth="1"/>
    <col min="10476" max="10476" width="7.7109375" style="92" customWidth="1"/>
    <col min="10477" max="10478" width="9.42578125" style="92" customWidth="1"/>
    <col min="10479" max="10480" width="9.7109375" style="92" customWidth="1"/>
    <col min="10481" max="10481" width="8.7109375" style="92" customWidth="1"/>
    <col min="10482" max="10482" width="9.42578125" style="92" customWidth="1"/>
    <col min="10483" max="10483" width="6.7109375" style="92" customWidth="1"/>
    <col min="10484" max="10484" width="8.140625" style="92" customWidth="1"/>
    <col min="10485" max="10485" width="10.42578125" style="92" customWidth="1"/>
    <col min="10486" max="10486" width="8.42578125" style="92" customWidth="1"/>
    <col min="10487" max="10487" width="9.7109375" style="92" customWidth="1"/>
    <col min="10488" max="10488" width="9.42578125" style="92" customWidth="1"/>
    <col min="10489" max="10489" width="7.42578125" style="92" customWidth="1"/>
    <col min="10490" max="10490" width="8.42578125" style="92" customWidth="1"/>
    <col min="10491" max="10492" width="8.28515625" style="92" customWidth="1"/>
    <col min="10493" max="10493" width="11.42578125" style="92" customWidth="1"/>
    <col min="10494" max="10494" width="10.42578125" style="92" customWidth="1"/>
    <col min="10495" max="10495" width="9.7109375" style="92" customWidth="1"/>
    <col min="10496" max="10496" width="9.140625" style="92" customWidth="1"/>
    <col min="10497" max="10497" width="9.42578125" style="92" customWidth="1"/>
    <col min="10498" max="10498" width="7.42578125" style="92" customWidth="1"/>
    <col min="10499" max="10499" width="8.42578125" style="92" customWidth="1"/>
    <col min="10500" max="10500" width="8.28515625" style="92" customWidth="1"/>
    <col min="10501" max="10501" width="11.42578125" style="92" customWidth="1"/>
    <col min="10502" max="10514" width="8" style="92" customWidth="1"/>
    <col min="10515" max="10515" width="9.42578125" style="92" customWidth="1"/>
    <col min="10516" max="10516" width="6.7109375" style="92" customWidth="1"/>
    <col min="10517" max="10519" width="8.28515625" style="92" customWidth="1"/>
    <col min="10520" max="10520" width="8.7109375" style="92" customWidth="1"/>
    <col min="10521" max="10521" width="6.7109375" style="92" customWidth="1"/>
    <col min="10522" max="10724" width="8.7109375" style="92"/>
    <col min="10725" max="10725" width="5.140625" style="92" customWidth="1"/>
    <col min="10726" max="10726" width="24" style="92" customWidth="1"/>
    <col min="10727" max="10727" width="7.7109375" style="92" customWidth="1"/>
    <col min="10728" max="10728" width="8.7109375" style="92" customWidth="1"/>
    <col min="10729" max="10729" width="8.42578125" style="92" customWidth="1"/>
    <col min="10730" max="10730" width="9.42578125" style="92" customWidth="1"/>
    <col min="10731" max="10731" width="10.140625" style="92" customWidth="1"/>
    <col min="10732" max="10732" width="7.7109375" style="92" customWidth="1"/>
    <col min="10733" max="10734" width="9.42578125" style="92" customWidth="1"/>
    <col min="10735" max="10736" width="9.7109375" style="92" customWidth="1"/>
    <col min="10737" max="10737" width="8.7109375" style="92" customWidth="1"/>
    <col min="10738" max="10738" width="9.42578125" style="92" customWidth="1"/>
    <col min="10739" max="10739" width="6.7109375" style="92" customWidth="1"/>
    <col min="10740" max="10740" width="8.140625" style="92" customWidth="1"/>
    <col min="10741" max="10741" width="10.42578125" style="92" customWidth="1"/>
    <col min="10742" max="10742" width="8.42578125" style="92" customWidth="1"/>
    <col min="10743" max="10743" width="9.7109375" style="92" customWidth="1"/>
    <col min="10744" max="10744" width="9.42578125" style="92" customWidth="1"/>
    <col min="10745" max="10745" width="7.42578125" style="92" customWidth="1"/>
    <col min="10746" max="10746" width="8.42578125" style="92" customWidth="1"/>
    <col min="10747" max="10748" width="8.28515625" style="92" customWidth="1"/>
    <col min="10749" max="10749" width="11.42578125" style="92" customWidth="1"/>
    <col min="10750" max="10750" width="10.42578125" style="92" customWidth="1"/>
    <col min="10751" max="10751" width="9.7109375" style="92" customWidth="1"/>
    <col min="10752" max="10752" width="9.140625" style="92" customWidth="1"/>
    <col min="10753" max="10753" width="9.42578125" style="92" customWidth="1"/>
    <col min="10754" max="10754" width="7.42578125" style="92" customWidth="1"/>
    <col min="10755" max="10755" width="8.42578125" style="92" customWidth="1"/>
    <col min="10756" max="10756" width="8.28515625" style="92" customWidth="1"/>
    <col min="10757" max="10757" width="11.42578125" style="92" customWidth="1"/>
    <col min="10758" max="10770" width="8" style="92" customWidth="1"/>
    <col min="10771" max="10771" width="9.42578125" style="92" customWidth="1"/>
    <col min="10772" max="10772" width="6.7109375" style="92" customWidth="1"/>
    <col min="10773" max="10775" width="8.28515625" style="92" customWidth="1"/>
    <col min="10776" max="10776" width="8.7109375" style="92" customWidth="1"/>
    <col min="10777" max="10777" width="6.7109375" style="92" customWidth="1"/>
    <col min="10778" max="10980" width="8.7109375" style="92"/>
    <col min="10981" max="10981" width="5.140625" style="92" customWidth="1"/>
    <col min="10982" max="10982" width="24" style="92" customWidth="1"/>
    <col min="10983" max="10983" width="7.7109375" style="92" customWidth="1"/>
    <col min="10984" max="10984" width="8.7109375" style="92" customWidth="1"/>
    <col min="10985" max="10985" width="8.42578125" style="92" customWidth="1"/>
    <col min="10986" max="10986" width="9.42578125" style="92" customWidth="1"/>
    <col min="10987" max="10987" width="10.140625" style="92" customWidth="1"/>
    <col min="10988" max="10988" width="7.7109375" style="92" customWidth="1"/>
    <col min="10989" max="10990" width="9.42578125" style="92" customWidth="1"/>
    <col min="10991" max="10992" width="9.7109375" style="92" customWidth="1"/>
    <col min="10993" max="10993" width="8.7109375" style="92" customWidth="1"/>
    <col min="10994" max="10994" width="9.42578125" style="92" customWidth="1"/>
    <col min="10995" max="10995" width="6.7109375" style="92" customWidth="1"/>
    <col min="10996" max="10996" width="8.140625" style="92" customWidth="1"/>
    <col min="10997" max="10997" width="10.42578125" style="92" customWidth="1"/>
    <col min="10998" max="10998" width="8.42578125" style="92" customWidth="1"/>
    <col min="10999" max="10999" width="9.7109375" style="92" customWidth="1"/>
    <col min="11000" max="11000" width="9.42578125" style="92" customWidth="1"/>
    <col min="11001" max="11001" width="7.42578125" style="92" customWidth="1"/>
    <col min="11002" max="11002" width="8.42578125" style="92" customWidth="1"/>
    <col min="11003" max="11004" width="8.28515625" style="92" customWidth="1"/>
    <col min="11005" max="11005" width="11.42578125" style="92" customWidth="1"/>
    <col min="11006" max="11006" width="10.42578125" style="92" customWidth="1"/>
    <col min="11007" max="11007" width="9.7109375" style="92" customWidth="1"/>
    <col min="11008" max="11008" width="9.140625" style="92" customWidth="1"/>
    <col min="11009" max="11009" width="9.42578125" style="92" customWidth="1"/>
    <col min="11010" max="11010" width="7.42578125" style="92" customWidth="1"/>
    <col min="11011" max="11011" width="8.42578125" style="92" customWidth="1"/>
    <col min="11012" max="11012" width="8.28515625" style="92" customWidth="1"/>
    <col min="11013" max="11013" width="11.42578125" style="92" customWidth="1"/>
    <col min="11014" max="11026" width="8" style="92" customWidth="1"/>
    <col min="11027" max="11027" width="9.42578125" style="92" customWidth="1"/>
    <col min="11028" max="11028" width="6.7109375" style="92" customWidth="1"/>
    <col min="11029" max="11031" width="8.28515625" style="92" customWidth="1"/>
    <col min="11032" max="11032" width="8.7109375" style="92" customWidth="1"/>
    <col min="11033" max="11033" width="6.7109375" style="92" customWidth="1"/>
    <col min="11034" max="11236" width="8.7109375" style="92"/>
    <col min="11237" max="11237" width="5.140625" style="92" customWidth="1"/>
    <col min="11238" max="11238" width="24" style="92" customWidth="1"/>
    <col min="11239" max="11239" width="7.7109375" style="92" customWidth="1"/>
    <col min="11240" max="11240" width="8.7109375" style="92" customWidth="1"/>
    <col min="11241" max="11241" width="8.42578125" style="92" customWidth="1"/>
    <col min="11242" max="11242" width="9.42578125" style="92" customWidth="1"/>
    <col min="11243" max="11243" width="10.140625" style="92" customWidth="1"/>
    <col min="11244" max="11244" width="7.7109375" style="92" customWidth="1"/>
    <col min="11245" max="11246" width="9.42578125" style="92" customWidth="1"/>
    <col min="11247" max="11248" width="9.7109375" style="92" customWidth="1"/>
    <col min="11249" max="11249" width="8.7109375" style="92" customWidth="1"/>
    <col min="11250" max="11250" width="9.42578125" style="92" customWidth="1"/>
    <col min="11251" max="11251" width="6.7109375" style="92" customWidth="1"/>
    <col min="11252" max="11252" width="8.140625" style="92" customWidth="1"/>
    <col min="11253" max="11253" width="10.42578125" style="92" customWidth="1"/>
    <col min="11254" max="11254" width="8.42578125" style="92" customWidth="1"/>
    <col min="11255" max="11255" width="9.7109375" style="92" customWidth="1"/>
    <col min="11256" max="11256" width="9.42578125" style="92" customWidth="1"/>
    <col min="11257" max="11257" width="7.42578125" style="92" customWidth="1"/>
    <col min="11258" max="11258" width="8.42578125" style="92" customWidth="1"/>
    <col min="11259" max="11260" width="8.28515625" style="92" customWidth="1"/>
    <col min="11261" max="11261" width="11.42578125" style="92" customWidth="1"/>
    <col min="11262" max="11262" width="10.42578125" style="92" customWidth="1"/>
    <col min="11263" max="11263" width="9.7109375" style="92" customWidth="1"/>
    <col min="11264" max="11264" width="9.140625" style="92" customWidth="1"/>
    <col min="11265" max="11265" width="9.42578125" style="92" customWidth="1"/>
    <col min="11266" max="11266" width="7.42578125" style="92" customWidth="1"/>
    <col min="11267" max="11267" width="8.42578125" style="92" customWidth="1"/>
    <col min="11268" max="11268" width="8.28515625" style="92" customWidth="1"/>
    <col min="11269" max="11269" width="11.42578125" style="92" customWidth="1"/>
    <col min="11270" max="11282" width="8" style="92" customWidth="1"/>
    <col min="11283" max="11283" width="9.42578125" style="92" customWidth="1"/>
    <col min="11284" max="11284" width="6.7109375" style="92" customWidth="1"/>
    <col min="11285" max="11287" width="8.28515625" style="92" customWidth="1"/>
    <col min="11288" max="11288" width="8.7109375" style="92" customWidth="1"/>
    <col min="11289" max="11289" width="6.7109375" style="92" customWidth="1"/>
    <col min="11290" max="11492" width="8.7109375" style="92"/>
    <col min="11493" max="11493" width="5.140625" style="92" customWidth="1"/>
    <col min="11494" max="11494" width="24" style="92" customWidth="1"/>
    <col min="11495" max="11495" width="7.7109375" style="92" customWidth="1"/>
    <col min="11496" max="11496" width="8.7109375" style="92" customWidth="1"/>
    <col min="11497" max="11497" width="8.42578125" style="92" customWidth="1"/>
    <col min="11498" max="11498" width="9.42578125" style="92" customWidth="1"/>
    <col min="11499" max="11499" width="10.140625" style="92" customWidth="1"/>
    <col min="11500" max="11500" width="7.7109375" style="92" customWidth="1"/>
    <col min="11501" max="11502" width="9.42578125" style="92" customWidth="1"/>
    <col min="11503" max="11504" width="9.7109375" style="92" customWidth="1"/>
    <col min="11505" max="11505" width="8.7109375" style="92" customWidth="1"/>
    <col min="11506" max="11506" width="9.42578125" style="92" customWidth="1"/>
    <col min="11507" max="11507" width="6.7109375" style="92" customWidth="1"/>
    <col min="11508" max="11508" width="8.140625" style="92" customWidth="1"/>
    <col min="11509" max="11509" width="10.42578125" style="92" customWidth="1"/>
    <col min="11510" max="11510" width="8.42578125" style="92" customWidth="1"/>
    <col min="11511" max="11511" width="9.7109375" style="92" customWidth="1"/>
    <col min="11512" max="11512" width="9.42578125" style="92" customWidth="1"/>
    <col min="11513" max="11513" width="7.42578125" style="92" customWidth="1"/>
    <col min="11514" max="11514" width="8.42578125" style="92" customWidth="1"/>
    <col min="11515" max="11516" width="8.28515625" style="92" customWidth="1"/>
    <col min="11517" max="11517" width="11.42578125" style="92" customWidth="1"/>
    <col min="11518" max="11518" width="10.42578125" style="92" customWidth="1"/>
    <col min="11519" max="11519" width="9.7109375" style="92" customWidth="1"/>
    <col min="11520" max="11520" width="9.140625" style="92" customWidth="1"/>
    <col min="11521" max="11521" width="9.42578125" style="92" customWidth="1"/>
    <col min="11522" max="11522" width="7.42578125" style="92" customWidth="1"/>
    <col min="11523" max="11523" width="8.42578125" style="92" customWidth="1"/>
    <col min="11524" max="11524" width="8.28515625" style="92" customWidth="1"/>
    <col min="11525" max="11525" width="11.42578125" style="92" customWidth="1"/>
    <col min="11526" max="11538" width="8" style="92" customWidth="1"/>
    <col min="11539" max="11539" width="9.42578125" style="92" customWidth="1"/>
    <col min="11540" max="11540" width="6.7109375" style="92" customWidth="1"/>
    <col min="11541" max="11543" width="8.28515625" style="92" customWidth="1"/>
    <col min="11544" max="11544" width="8.7109375" style="92" customWidth="1"/>
    <col min="11545" max="11545" width="6.7109375" style="92" customWidth="1"/>
    <col min="11546" max="11748" width="8.7109375" style="92"/>
    <col min="11749" max="11749" width="5.140625" style="92" customWidth="1"/>
    <col min="11750" max="11750" width="24" style="92" customWidth="1"/>
    <col min="11751" max="11751" width="7.7109375" style="92" customWidth="1"/>
    <col min="11752" max="11752" width="8.7109375" style="92" customWidth="1"/>
    <col min="11753" max="11753" width="8.42578125" style="92" customWidth="1"/>
    <col min="11754" max="11754" width="9.42578125" style="92" customWidth="1"/>
    <col min="11755" max="11755" width="10.140625" style="92" customWidth="1"/>
    <col min="11756" max="11756" width="7.7109375" style="92" customWidth="1"/>
    <col min="11757" max="11758" width="9.42578125" style="92" customWidth="1"/>
    <col min="11759" max="11760" width="9.7109375" style="92" customWidth="1"/>
    <col min="11761" max="11761" width="8.7109375" style="92" customWidth="1"/>
    <col min="11762" max="11762" width="9.42578125" style="92" customWidth="1"/>
    <col min="11763" max="11763" width="6.7109375" style="92" customWidth="1"/>
    <col min="11764" max="11764" width="8.140625" style="92" customWidth="1"/>
    <col min="11765" max="11765" width="10.42578125" style="92" customWidth="1"/>
    <col min="11766" max="11766" width="8.42578125" style="92" customWidth="1"/>
    <col min="11767" max="11767" width="9.7109375" style="92" customWidth="1"/>
    <col min="11768" max="11768" width="9.42578125" style="92" customWidth="1"/>
    <col min="11769" max="11769" width="7.42578125" style="92" customWidth="1"/>
    <col min="11770" max="11770" width="8.42578125" style="92" customWidth="1"/>
    <col min="11771" max="11772" width="8.28515625" style="92" customWidth="1"/>
    <col min="11773" max="11773" width="11.42578125" style="92" customWidth="1"/>
    <col min="11774" max="11774" width="10.42578125" style="92" customWidth="1"/>
    <col min="11775" max="11775" width="9.7109375" style="92" customWidth="1"/>
    <col min="11776" max="11776" width="9.140625" style="92" customWidth="1"/>
    <col min="11777" max="11777" width="9.42578125" style="92" customWidth="1"/>
    <col min="11778" max="11778" width="7.42578125" style="92" customWidth="1"/>
    <col min="11779" max="11779" width="8.42578125" style="92" customWidth="1"/>
    <col min="11780" max="11780" width="8.28515625" style="92" customWidth="1"/>
    <col min="11781" max="11781" width="11.42578125" style="92" customWidth="1"/>
    <col min="11782" max="11794" width="8" style="92" customWidth="1"/>
    <col min="11795" max="11795" width="9.42578125" style="92" customWidth="1"/>
    <col min="11796" max="11796" width="6.7109375" style="92" customWidth="1"/>
    <col min="11797" max="11799" width="8.28515625" style="92" customWidth="1"/>
    <col min="11800" max="11800" width="8.7109375" style="92" customWidth="1"/>
    <col min="11801" max="11801" width="6.7109375" style="92" customWidth="1"/>
    <col min="11802" max="12004" width="8.7109375" style="92"/>
    <col min="12005" max="12005" width="5.140625" style="92" customWidth="1"/>
    <col min="12006" max="12006" width="24" style="92" customWidth="1"/>
    <col min="12007" max="12007" width="7.7109375" style="92" customWidth="1"/>
    <col min="12008" max="12008" width="8.7109375" style="92" customWidth="1"/>
    <col min="12009" max="12009" width="8.42578125" style="92" customWidth="1"/>
    <col min="12010" max="12010" width="9.42578125" style="92" customWidth="1"/>
    <col min="12011" max="12011" width="10.140625" style="92" customWidth="1"/>
    <col min="12012" max="12012" width="7.7109375" style="92" customWidth="1"/>
    <col min="12013" max="12014" width="9.42578125" style="92" customWidth="1"/>
    <col min="12015" max="12016" width="9.7109375" style="92" customWidth="1"/>
    <col min="12017" max="12017" width="8.7109375" style="92" customWidth="1"/>
    <col min="12018" max="12018" width="9.42578125" style="92" customWidth="1"/>
    <col min="12019" max="12019" width="6.7109375" style="92" customWidth="1"/>
    <col min="12020" max="12020" width="8.140625" style="92" customWidth="1"/>
    <col min="12021" max="12021" width="10.42578125" style="92" customWidth="1"/>
    <col min="12022" max="12022" width="8.42578125" style="92" customWidth="1"/>
    <col min="12023" max="12023" width="9.7109375" style="92" customWidth="1"/>
    <col min="12024" max="12024" width="9.42578125" style="92" customWidth="1"/>
    <col min="12025" max="12025" width="7.42578125" style="92" customWidth="1"/>
    <col min="12026" max="12026" width="8.42578125" style="92" customWidth="1"/>
    <col min="12027" max="12028" width="8.28515625" style="92" customWidth="1"/>
    <col min="12029" max="12029" width="11.42578125" style="92" customWidth="1"/>
    <col min="12030" max="12030" width="10.42578125" style="92" customWidth="1"/>
    <col min="12031" max="12031" width="9.7109375" style="92" customWidth="1"/>
    <col min="12032" max="12032" width="9.140625" style="92" customWidth="1"/>
    <col min="12033" max="12033" width="9.42578125" style="92" customWidth="1"/>
    <col min="12034" max="12034" width="7.42578125" style="92" customWidth="1"/>
    <col min="12035" max="12035" width="8.42578125" style="92" customWidth="1"/>
    <col min="12036" max="12036" width="8.28515625" style="92" customWidth="1"/>
    <col min="12037" max="12037" width="11.42578125" style="92" customWidth="1"/>
    <col min="12038" max="12050" width="8" style="92" customWidth="1"/>
    <col min="12051" max="12051" width="9.42578125" style="92" customWidth="1"/>
    <col min="12052" max="12052" width="6.7109375" style="92" customWidth="1"/>
    <col min="12053" max="12055" width="8.28515625" style="92" customWidth="1"/>
    <col min="12056" max="12056" width="8.7109375" style="92" customWidth="1"/>
    <col min="12057" max="12057" width="6.7109375" style="92" customWidth="1"/>
    <col min="12058" max="12260" width="8.7109375" style="92"/>
    <col min="12261" max="12261" width="5.140625" style="92" customWidth="1"/>
    <col min="12262" max="12262" width="24" style="92" customWidth="1"/>
    <col min="12263" max="12263" width="7.7109375" style="92" customWidth="1"/>
    <col min="12264" max="12264" width="8.7109375" style="92" customWidth="1"/>
    <col min="12265" max="12265" width="8.42578125" style="92" customWidth="1"/>
    <col min="12266" max="12266" width="9.42578125" style="92" customWidth="1"/>
    <col min="12267" max="12267" width="10.140625" style="92" customWidth="1"/>
    <col min="12268" max="12268" width="7.7109375" style="92" customWidth="1"/>
    <col min="12269" max="12270" width="9.42578125" style="92" customWidth="1"/>
    <col min="12271" max="12272" width="9.7109375" style="92" customWidth="1"/>
    <col min="12273" max="12273" width="8.7109375" style="92" customWidth="1"/>
    <col min="12274" max="12274" width="9.42578125" style="92" customWidth="1"/>
    <col min="12275" max="12275" width="6.7109375" style="92" customWidth="1"/>
    <col min="12276" max="12276" width="8.140625" style="92" customWidth="1"/>
    <col min="12277" max="12277" width="10.42578125" style="92" customWidth="1"/>
    <col min="12278" max="12278" width="8.42578125" style="92" customWidth="1"/>
    <col min="12279" max="12279" width="9.7109375" style="92" customWidth="1"/>
    <col min="12280" max="12280" width="9.42578125" style="92" customWidth="1"/>
    <col min="12281" max="12281" width="7.42578125" style="92" customWidth="1"/>
    <col min="12282" max="12282" width="8.42578125" style="92" customWidth="1"/>
    <col min="12283" max="12284" width="8.28515625" style="92" customWidth="1"/>
    <col min="12285" max="12285" width="11.42578125" style="92" customWidth="1"/>
    <col min="12286" max="12286" width="10.42578125" style="92" customWidth="1"/>
    <col min="12287" max="12287" width="9.7109375" style="92" customWidth="1"/>
    <col min="12288" max="12288" width="9.140625" style="92" customWidth="1"/>
    <col min="12289" max="12289" width="9.42578125" style="92" customWidth="1"/>
    <col min="12290" max="12290" width="7.42578125" style="92" customWidth="1"/>
    <col min="12291" max="12291" width="8.42578125" style="92" customWidth="1"/>
    <col min="12292" max="12292" width="8.28515625" style="92" customWidth="1"/>
    <col min="12293" max="12293" width="11.42578125" style="92" customWidth="1"/>
    <col min="12294" max="12306" width="8" style="92" customWidth="1"/>
    <col min="12307" max="12307" width="9.42578125" style="92" customWidth="1"/>
    <col min="12308" max="12308" width="6.7109375" style="92" customWidth="1"/>
    <col min="12309" max="12311" width="8.28515625" style="92" customWidth="1"/>
    <col min="12312" max="12312" width="8.7109375" style="92" customWidth="1"/>
    <col min="12313" max="12313" width="6.7109375" style="92" customWidth="1"/>
    <col min="12314" max="12516" width="8.7109375" style="92"/>
    <col min="12517" max="12517" width="5.140625" style="92" customWidth="1"/>
    <col min="12518" max="12518" width="24" style="92" customWidth="1"/>
    <col min="12519" max="12519" width="7.7109375" style="92" customWidth="1"/>
    <col min="12520" max="12520" width="8.7109375" style="92" customWidth="1"/>
    <col min="12521" max="12521" width="8.42578125" style="92" customWidth="1"/>
    <col min="12522" max="12522" width="9.42578125" style="92" customWidth="1"/>
    <col min="12523" max="12523" width="10.140625" style="92" customWidth="1"/>
    <col min="12524" max="12524" width="7.7109375" style="92" customWidth="1"/>
    <col min="12525" max="12526" width="9.42578125" style="92" customWidth="1"/>
    <col min="12527" max="12528" width="9.7109375" style="92" customWidth="1"/>
    <col min="12529" max="12529" width="8.7109375" style="92" customWidth="1"/>
    <col min="12530" max="12530" width="9.42578125" style="92" customWidth="1"/>
    <col min="12531" max="12531" width="6.7109375" style="92" customWidth="1"/>
    <col min="12532" max="12532" width="8.140625" style="92" customWidth="1"/>
    <col min="12533" max="12533" width="10.42578125" style="92" customWidth="1"/>
    <col min="12534" max="12534" width="8.42578125" style="92" customWidth="1"/>
    <col min="12535" max="12535" width="9.7109375" style="92" customWidth="1"/>
    <col min="12536" max="12536" width="9.42578125" style="92" customWidth="1"/>
    <col min="12537" max="12537" width="7.42578125" style="92" customWidth="1"/>
    <col min="12538" max="12538" width="8.42578125" style="92" customWidth="1"/>
    <col min="12539" max="12540" width="8.28515625" style="92" customWidth="1"/>
    <col min="12541" max="12541" width="11.42578125" style="92" customWidth="1"/>
    <col min="12542" max="12542" width="10.42578125" style="92" customWidth="1"/>
    <col min="12543" max="12543" width="9.7109375" style="92" customWidth="1"/>
    <col min="12544" max="12544" width="9.140625" style="92" customWidth="1"/>
    <col min="12545" max="12545" width="9.42578125" style="92" customWidth="1"/>
    <col min="12546" max="12546" width="7.42578125" style="92" customWidth="1"/>
    <col min="12547" max="12547" width="8.42578125" style="92" customWidth="1"/>
    <col min="12548" max="12548" width="8.28515625" style="92" customWidth="1"/>
    <col min="12549" max="12549" width="11.42578125" style="92" customWidth="1"/>
    <col min="12550" max="12562" width="8" style="92" customWidth="1"/>
    <col min="12563" max="12563" width="9.42578125" style="92" customWidth="1"/>
    <col min="12564" max="12564" width="6.7109375" style="92" customWidth="1"/>
    <col min="12565" max="12567" width="8.28515625" style="92" customWidth="1"/>
    <col min="12568" max="12568" width="8.7109375" style="92" customWidth="1"/>
    <col min="12569" max="12569" width="6.7109375" style="92" customWidth="1"/>
    <col min="12570" max="12772" width="8.7109375" style="92"/>
    <col min="12773" max="12773" width="5.140625" style="92" customWidth="1"/>
    <col min="12774" max="12774" width="24" style="92" customWidth="1"/>
    <col min="12775" max="12775" width="7.7109375" style="92" customWidth="1"/>
    <col min="12776" max="12776" width="8.7109375" style="92" customWidth="1"/>
    <col min="12777" max="12777" width="8.42578125" style="92" customWidth="1"/>
    <col min="12778" max="12778" width="9.42578125" style="92" customWidth="1"/>
    <col min="12779" max="12779" width="10.140625" style="92" customWidth="1"/>
    <col min="12780" max="12780" width="7.7109375" style="92" customWidth="1"/>
    <col min="12781" max="12782" width="9.42578125" style="92" customWidth="1"/>
    <col min="12783" max="12784" width="9.7109375" style="92" customWidth="1"/>
    <col min="12785" max="12785" width="8.7109375" style="92" customWidth="1"/>
    <col min="12786" max="12786" width="9.42578125" style="92" customWidth="1"/>
    <col min="12787" max="12787" width="6.7109375" style="92" customWidth="1"/>
    <col min="12788" max="12788" width="8.140625" style="92" customWidth="1"/>
    <col min="12789" max="12789" width="10.42578125" style="92" customWidth="1"/>
    <col min="12790" max="12790" width="8.42578125" style="92" customWidth="1"/>
    <col min="12791" max="12791" width="9.7109375" style="92" customWidth="1"/>
    <col min="12792" max="12792" width="9.42578125" style="92" customWidth="1"/>
    <col min="12793" max="12793" width="7.42578125" style="92" customWidth="1"/>
    <col min="12794" max="12794" width="8.42578125" style="92" customWidth="1"/>
    <col min="12795" max="12796" width="8.28515625" style="92" customWidth="1"/>
    <col min="12797" max="12797" width="11.42578125" style="92" customWidth="1"/>
    <col min="12798" max="12798" width="10.42578125" style="92" customWidth="1"/>
    <col min="12799" max="12799" width="9.7109375" style="92" customWidth="1"/>
    <col min="12800" max="12800" width="9.140625" style="92" customWidth="1"/>
    <col min="12801" max="12801" width="9.42578125" style="92" customWidth="1"/>
    <col min="12802" max="12802" width="7.42578125" style="92" customWidth="1"/>
    <col min="12803" max="12803" width="8.42578125" style="92" customWidth="1"/>
    <col min="12804" max="12804" width="8.28515625" style="92" customWidth="1"/>
    <col min="12805" max="12805" width="11.42578125" style="92" customWidth="1"/>
    <col min="12806" max="12818" width="8" style="92" customWidth="1"/>
    <col min="12819" max="12819" width="9.42578125" style="92" customWidth="1"/>
    <col min="12820" max="12820" width="6.7109375" style="92" customWidth="1"/>
    <col min="12821" max="12823" width="8.28515625" style="92" customWidth="1"/>
    <col min="12824" max="12824" width="8.7109375" style="92" customWidth="1"/>
    <col min="12825" max="12825" width="6.7109375" style="92" customWidth="1"/>
    <col min="12826" max="13028" width="8.7109375" style="92"/>
    <col min="13029" max="13029" width="5.140625" style="92" customWidth="1"/>
    <col min="13030" max="13030" width="24" style="92" customWidth="1"/>
    <col min="13031" max="13031" width="7.7109375" style="92" customWidth="1"/>
    <col min="13032" max="13032" width="8.7109375" style="92" customWidth="1"/>
    <col min="13033" max="13033" width="8.42578125" style="92" customWidth="1"/>
    <col min="13034" max="13034" width="9.42578125" style="92" customWidth="1"/>
    <col min="13035" max="13035" width="10.140625" style="92" customWidth="1"/>
    <col min="13036" max="13036" width="7.7109375" style="92" customWidth="1"/>
    <col min="13037" max="13038" width="9.42578125" style="92" customWidth="1"/>
    <col min="13039" max="13040" width="9.7109375" style="92" customWidth="1"/>
    <col min="13041" max="13041" width="8.7109375" style="92" customWidth="1"/>
    <col min="13042" max="13042" width="9.42578125" style="92" customWidth="1"/>
    <col min="13043" max="13043" width="6.7109375" style="92" customWidth="1"/>
    <col min="13044" max="13044" width="8.140625" style="92" customWidth="1"/>
    <col min="13045" max="13045" width="10.42578125" style="92" customWidth="1"/>
    <col min="13046" max="13046" width="8.42578125" style="92" customWidth="1"/>
    <col min="13047" max="13047" width="9.7109375" style="92" customWidth="1"/>
    <col min="13048" max="13048" width="9.42578125" style="92" customWidth="1"/>
    <col min="13049" max="13049" width="7.42578125" style="92" customWidth="1"/>
    <col min="13050" max="13050" width="8.42578125" style="92" customWidth="1"/>
    <col min="13051" max="13052" width="8.28515625" style="92" customWidth="1"/>
    <col min="13053" max="13053" width="11.42578125" style="92" customWidth="1"/>
    <col min="13054" max="13054" width="10.42578125" style="92" customWidth="1"/>
    <col min="13055" max="13055" width="9.7109375" style="92" customWidth="1"/>
    <col min="13056" max="13056" width="9.140625" style="92" customWidth="1"/>
    <col min="13057" max="13057" width="9.42578125" style="92" customWidth="1"/>
    <col min="13058" max="13058" width="7.42578125" style="92" customWidth="1"/>
    <col min="13059" max="13059" width="8.42578125" style="92" customWidth="1"/>
    <col min="13060" max="13060" width="8.28515625" style="92" customWidth="1"/>
    <col min="13061" max="13061" width="11.42578125" style="92" customWidth="1"/>
    <col min="13062" max="13074" width="8" style="92" customWidth="1"/>
    <col min="13075" max="13075" width="9.42578125" style="92" customWidth="1"/>
    <col min="13076" max="13076" width="6.7109375" style="92" customWidth="1"/>
    <col min="13077" max="13079" width="8.28515625" style="92" customWidth="1"/>
    <col min="13080" max="13080" width="8.7109375" style="92" customWidth="1"/>
    <col min="13081" max="13081" width="6.7109375" style="92" customWidth="1"/>
    <col min="13082" max="13284" width="8.7109375" style="92"/>
    <col min="13285" max="13285" width="5.140625" style="92" customWidth="1"/>
    <col min="13286" max="13286" width="24" style="92" customWidth="1"/>
    <col min="13287" max="13287" width="7.7109375" style="92" customWidth="1"/>
    <col min="13288" max="13288" width="8.7109375" style="92" customWidth="1"/>
    <col min="13289" max="13289" width="8.42578125" style="92" customWidth="1"/>
    <col min="13290" max="13290" width="9.42578125" style="92" customWidth="1"/>
    <col min="13291" max="13291" width="10.140625" style="92" customWidth="1"/>
    <col min="13292" max="13292" width="7.7109375" style="92" customWidth="1"/>
    <col min="13293" max="13294" width="9.42578125" style="92" customWidth="1"/>
    <col min="13295" max="13296" width="9.7109375" style="92" customWidth="1"/>
    <col min="13297" max="13297" width="8.7109375" style="92" customWidth="1"/>
    <col min="13298" max="13298" width="9.42578125" style="92" customWidth="1"/>
    <col min="13299" max="13299" width="6.7109375" style="92" customWidth="1"/>
    <col min="13300" max="13300" width="8.140625" style="92" customWidth="1"/>
    <col min="13301" max="13301" width="10.42578125" style="92" customWidth="1"/>
    <col min="13302" max="13302" width="8.42578125" style="92" customWidth="1"/>
    <col min="13303" max="13303" width="9.7109375" style="92" customWidth="1"/>
    <col min="13304" max="13304" width="9.42578125" style="92" customWidth="1"/>
    <col min="13305" max="13305" width="7.42578125" style="92" customWidth="1"/>
    <col min="13306" max="13306" width="8.42578125" style="92" customWidth="1"/>
    <col min="13307" max="13308" width="8.28515625" style="92" customWidth="1"/>
    <col min="13309" max="13309" width="11.42578125" style="92" customWidth="1"/>
    <col min="13310" max="13310" width="10.42578125" style="92" customWidth="1"/>
    <col min="13311" max="13311" width="9.7109375" style="92" customWidth="1"/>
    <col min="13312" max="13312" width="9.140625" style="92" customWidth="1"/>
    <col min="13313" max="13313" width="9.42578125" style="92" customWidth="1"/>
    <col min="13314" max="13314" width="7.42578125" style="92" customWidth="1"/>
    <col min="13315" max="13315" width="8.42578125" style="92" customWidth="1"/>
    <col min="13316" max="13316" width="8.28515625" style="92" customWidth="1"/>
    <col min="13317" max="13317" width="11.42578125" style="92" customWidth="1"/>
    <col min="13318" max="13330" width="8" style="92" customWidth="1"/>
    <col min="13331" max="13331" width="9.42578125" style="92" customWidth="1"/>
    <col min="13332" max="13332" width="6.7109375" style="92" customWidth="1"/>
    <col min="13333" max="13335" width="8.28515625" style="92" customWidth="1"/>
    <col min="13336" max="13336" width="8.7109375" style="92" customWidth="1"/>
    <col min="13337" max="13337" width="6.7109375" style="92" customWidth="1"/>
    <col min="13338" max="13540" width="8.7109375" style="92"/>
    <col min="13541" max="13541" width="5.140625" style="92" customWidth="1"/>
    <col min="13542" max="13542" width="24" style="92" customWidth="1"/>
    <col min="13543" max="13543" width="7.7109375" style="92" customWidth="1"/>
    <col min="13544" max="13544" width="8.7109375" style="92" customWidth="1"/>
    <col min="13545" max="13545" width="8.42578125" style="92" customWidth="1"/>
    <col min="13546" max="13546" width="9.42578125" style="92" customWidth="1"/>
    <col min="13547" max="13547" width="10.140625" style="92" customWidth="1"/>
    <col min="13548" max="13548" width="7.7109375" style="92" customWidth="1"/>
    <col min="13549" max="13550" width="9.42578125" style="92" customWidth="1"/>
    <col min="13551" max="13552" width="9.7109375" style="92" customWidth="1"/>
    <col min="13553" max="13553" width="8.7109375" style="92" customWidth="1"/>
    <col min="13554" max="13554" width="9.42578125" style="92" customWidth="1"/>
    <col min="13555" max="13555" width="6.7109375" style="92" customWidth="1"/>
    <col min="13556" max="13556" width="8.140625" style="92" customWidth="1"/>
    <col min="13557" max="13557" width="10.42578125" style="92" customWidth="1"/>
    <col min="13558" max="13558" width="8.42578125" style="92" customWidth="1"/>
    <col min="13559" max="13559" width="9.7109375" style="92" customWidth="1"/>
    <col min="13560" max="13560" width="9.42578125" style="92" customWidth="1"/>
    <col min="13561" max="13561" width="7.42578125" style="92" customWidth="1"/>
    <col min="13562" max="13562" width="8.42578125" style="92" customWidth="1"/>
    <col min="13563" max="13564" width="8.28515625" style="92" customWidth="1"/>
    <col min="13565" max="13565" width="11.42578125" style="92" customWidth="1"/>
    <col min="13566" max="13566" width="10.42578125" style="92" customWidth="1"/>
    <col min="13567" max="13567" width="9.7109375" style="92" customWidth="1"/>
    <col min="13568" max="13568" width="9.140625" style="92" customWidth="1"/>
    <col min="13569" max="13569" width="9.42578125" style="92" customWidth="1"/>
    <col min="13570" max="13570" width="7.42578125" style="92" customWidth="1"/>
    <col min="13571" max="13571" width="8.42578125" style="92" customWidth="1"/>
    <col min="13572" max="13572" width="8.28515625" style="92" customWidth="1"/>
    <col min="13573" max="13573" width="11.42578125" style="92" customWidth="1"/>
    <col min="13574" max="13586" width="8" style="92" customWidth="1"/>
    <col min="13587" max="13587" width="9.42578125" style="92" customWidth="1"/>
    <col min="13588" max="13588" width="6.7109375" style="92" customWidth="1"/>
    <col min="13589" max="13591" width="8.28515625" style="92" customWidth="1"/>
    <col min="13592" max="13592" width="8.7109375" style="92" customWidth="1"/>
    <col min="13593" max="13593" width="6.7109375" style="92" customWidth="1"/>
    <col min="13594" max="13796" width="8.7109375" style="92"/>
    <col min="13797" max="13797" width="5.140625" style="92" customWidth="1"/>
    <col min="13798" max="13798" width="24" style="92" customWidth="1"/>
    <col min="13799" max="13799" width="7.7109375" style="92" customWidth="1"/>
    <col min="13800" max="13800" width="8.7109375" style="92" customWidth="1"/>
    <col min="13801" max="13801" width="8.42578125" style="92" customWidth="1"/>
    <col min="13802" max="13802" width="9.42578125" style="92" customWidth="1"/>
    <col min="13803" max="13803" width="10.140625" style="92" customWidth="1"/>
    <col min="13804" max="13804" width="7.7109375" style="92" customWidth="1"/>
    <col min="13805" max="13806" width="9.42578125" style="92" customWidth="1"/>
    <col min="13807" max="13808" width="9.7109375" style="92" customWidth="1"/>
    <col min="13809" max="13809" width="8.7109375" style="92" customWidth="1"/>
    <col min="13810" max="13810" width="9.42578125" style="92" customWidth="1"/>
    <col min="13811" max="13811" width="6.7109375" style="92" customWidth="1"/>
    <col min="13812" max="13812" width="8.140625" style="92" customWidth="1"/>
    <col min="13813" max="13813" width="10.42578125" style="92" customWidth="1"/>
    <col min="13814" max="13814" width="8.42578125" style="92" customWidth="1"/>
    <col min="13815" max="13815" width="9.7109375" style="92" customWidth="1"/>
    <col min="13816" max="13816" width="9.42578125" style="92" customWidth="1"/>
    <col min="13817" max="13817" width="7.42578125" style="92" customWidth="1"/>
    <col min="13818" max="13818" width="8.42578125" style="92" customWidth="1"/>
    <col min="13819" max="13820" width="8.28515625" style="92" customWidth="1"/>
    <col min="13821" max="13821" width="11.42578125" style="92" customWidth="1"/>
    <col min="13822" max="13822" width="10.42578125" style="92" customWidth="1"/>
    <col min="13823" max="13823" width="9.7109375" style="92" customWidth="1"/>
    <col min="13824" max="13824" width="9.140625" style="92" customWidth="1"/>
    <col min="13825" max="13825" width="9.42578125" style="92" customWidth="1"/>
    <col min="13826" max="13826" width="7.42578125" style="92" customWidth="1"/>
    <col min="13827" max="13827" width="8.42578125" style="92" customWidth="1"/>
    <col min="13828" max="13828" width="8.28515625" style="92" customWidth="1"/>
    <col min="13829" max="13829" width="11.42578125" style="92" customWidth="1"/>
    <col min="13830" max="13842" width="8" style="92" customWidth="1"/>
    <col min="13843" max="13843" width="9.42578125" style="92" customWidth="1"/>
    <col min="13844" max="13844" width="6.7109375" style="92" customWidth="1"/>
    <col min="13845" max="13847" width="8.28515625" style="92" customWidth="1"/>
    <col min="13848" max="13848" width="8.7109375" style="92" customWidth="1"/>
    <col min="13849" max="13849" width="6.7109375" style="92" customWidth="1"/>
    <col min="13850" max="14052" width="8.7109375" style="92"/>
    <col min="14053" max="14053" width="5.140625" style="92" customWidth="1"/>
    <col min="14054" max="14054" width="24" style="92" customWidth="1"/>
    <col min="14055" max="14055" width="7.7109375" style="92" customWidth="1"/>
    <col min="14056" max="14056" width="8.7109375" style="92" customWidth="1"/>
    <col min="14057" max="14057" width="8.42578125" style="92" customWidth="1"/>
    <col min="14058" max="14058" width="9.42578125" style="92" customWidth="1"/>
    <col min="14059" max="14059" width="10.140625" style="92" customWidth="1"/>
    <col min="14060" max="14060" width="7.7109375" style="92" customWidth="1"/>
    <col min="14061" max="14062" width="9.42578125" style="92" customWidth="1"/>
    <col min="14063" max="14064" width="9.7109375" style="92" customWidth="1"/>
    <col min="14065" max="14065" width="8.7109375" style="92" customWidth="1"/>
    <col min="14066" max="14066" width="9.42578125" style="92" customWidth="1"/>
    <col min="14067" max="14067" width="6.7109375" style="92" customWidth="1"/>
    <col min="14068" max="14068" width="8.140625" style="92" customWidth="1"/>
    <col min="14069" max="14069" width="10.42578125" style="92" customWidth="1"/>
    <col min="14070" max="14070" width="8.42578125" style="92" customWidth="1"/>
    <col min="14071" max="14071" width="9.7109375" style="92" customWidth="1"/>
    <col min="14072" max="14072" width="9.42578125" style="92" customWidth="1"/>
    <col min="14073" max="14073" width="7.42578125" style="92" customWidth="1"/>
    <col min="14074" max="14074" width="8.42578125" style="92" customWidth="1"/>
    <col min="14075" max="14076" width="8.28515625" style="92" customWidth="1"/>
    <col min="14077" max="14077" width="11.42578125" style="92" customWidth="1"/>
    <col min="14078" max="14078" width="10.42578125" style="92" customWidth="1"/>
    <col min="14079" max="14079" width="9.7109375" style="92" customWidth="1"/>
    <col min="14080" max="14080" width="9.140625" style="92" customWidth="1"/>
    <col min="14081" max="14081" width="9.42578125" style="92" customWidth="1"/>
    <col min="14082" max="14082" width="7.42578125" style="92" customWidth="1"/>
    <col min="14083" max="14083" width="8.42578125" style="92" customWidth="1"/>
    <col min="14084" max="14084" width="8.28515625" style="92" customWidth="1"/>
    <col min="14085" max="14085" width="11.42578125" style="92" customWidth="1"/>
    <col min="14086" max="14098" width="8" style="92" customWidth="1"/>
    <col min="14099" max="14099" width="9.42578125" style="92" customWidth="1"/>
    <col min="14100" max="14100" width="6.7109375" style="92" customWidth="1"/>
    <col min="14101" max="14103" width="8.28515625" style="92" customWidth="1"/>
    <col min="14104" max="14104" width="8.7109375" style="92" customWidth="1"/>
    <col min="14105" max="14105" width="6.7109375" style="92" customWidth="1"/>
    <col min="14106" max="14308" width="8.7109375" style="92"/>
    <col min="14309" max="14309" width="5.140625" style="92" customWidth="1"/>
    <col min="14310" max="14310" width="24" style="92" customWidth="1"/>
    <col min="14311" max="14311" width="7.7109375" style="92" customWidth="1"/>
    <col min="14312" max="14312" width="8.7109375" style="92" customWidth="1"/>
    <col min="14313" max="14313" width="8.42578125" style="92" customWidth="1"/>
    <col min="14314" max="14314" width="9.42578125" style="92" customWidth="1"/>
    <col min="14315" max="14315" width="10.140625" style="92" customWidth="1"/>
    <col min="14316" max="14316" width="7.7109375" style="92" customWidth="1"/>
    <col min="14317" max="14318" width="9.42578125" style="92" customWidth="1"/>
    <col min="14319" max="14320" width="9.7109375" style="92" customWidth="1"/>
    <col min="14321" max="14321" width="8.7109375" style="92" customWidth="1"/>
    <col min="14322" max="14322" width="9.42578125" style="92" customWidth="1"/>
    <col min="14323" max="14323" width="6.7109375" style="92" customWidth="1"/>
    <col min="14324" max="14324" width="8.140625" style="92" customWidth="1"/>
    <col min="14325" max="14325" width="10.42578125" style="92" customWidth="1"/>
    <col min="14326" max="14326" width="8.42578125" style="92" customWidth="1"/>
    <col min="14327" max="14327" width="9.7109375" style="92" customWidth="1"/>
    <col min="14328" max="14328" width="9.42578125" style="92" customWidth="1"/>
    <col min="14329" max="14329" width="7.42578125" style="92" customWidth="1"/>
    <col min="14330" max="14330" width="8.42578125" style="92" customWidth="1"/>
    <col min="14331" max="14332" width="8.28515625" style="92" customWidth="1"/>
    <col min="14333" max="14333" width="11.42578125" style="92" customWidth="1"/>
    <col min="14334" max="14334" width="10.42578125" style="92" customWidth="1"/>
    <col min="14335" max="14335" width="9.7109375" style="92" customWidth="1"/>
    <col min="14336" max="14336" width="9.140625" style="92" customWidth="1"/>
    <col min="14337" max="14337" width="9.42578125" style="92" customWidth="1"/>
    <col min="14338" max="14338" width="7.42578125" style="92" customWidth="1"/>
    <col min="14339" max="14339" width="8.42578125" style="92" customWidth="1"/>
    <col min="14340" max="14340" width="8.28515625" style="92" customWidth="1"/>
    <col min="14341" max="14341" width="11.42578125" style="92" customWidth="1"/>
    <col min="14342" max="14354" width="8" style="92" customWidth="1"/>
    <col min="14355" max="14355" width="9.42578125" style="92" customWidth="1"/>
    <col min="14356" max="14356" width="6.7109375" style="92" customWidth="1"/>
    <col min="14357" max="14359" width="8.28515625" style="92" customWidth="1"/>
    <col min="14360" max="14360" width="8.7109375" style="92" customWidth="1"/>
    <col min="14361" max="14361" width="6.7109375" style="92" customWidth="1"/>
    <col min="14362" max="14564" width="8.7109375" style="92"/>
    <col min="14565" max="14565" width="5.140625" style="92" customWidth="1"/>
    <col min="14566" max="14566" width="24" style="92" customWidth="1"/>
    <col min="14567" max="14567" width="7.7109375" style="92" customWidth="1"/>
    <col min="14568" max="14568" width="8.7109375" style="92" customWidth="1"/>
    <col min="14569" max="14569" width="8.42578125" style="92" customWidth="1"/>
    <col min="14570" max="14570" width="9.42578125" style="92" customWidth="1"/>
    <col min="14571" max="14571" width="10.140625" style="92" customWidth="1"/>
    <col min="14572" max="14572" width="7.7109375" style="92" customWidth="1"/>
    <col min="14573" max="14574" width="9.42578125" style="92" customWidth="1"/>
    <col min="14575" max="14576" width="9.7109375" style="92" customWidth="1"/>
    <col min="14577" max="14577" width="8.7109375" style="92" customWidth="1"/>
    <col min="14578" max="14578" width="9.42578125" style="92" customWidth="1"/>
    <col min="14579" max="14579" width="6.7109375" style="92" customWidth="1"/>
    <col min="14580" max="14580" width="8.140625" style="92" customWidth="1"/>
    <col min="14581" max="14581" width="10.42578125" style="92" customWidth="1"/>
    <col min="14582" max="14582" width="8.42578125" style="92" customWidth="1"/>
    <col min="14583" max="14583" width="9.7109375" style="92" customWidth="1"/>
    <col min="14584" max="14584" width="9.42578125" style="92" customWidth="1"/>
    <col min="14585" max="14585" width="7.42578125" style="92" customWidth="1"/>
    <col min="14586" max="14586" width="8.42578125" style="92" customWidth="1"/>
    <col min="14587" max="14588" width="8.28515625" style="92" customWidth="1"/>
    <col min="14589" max="14589" width="11.42578125" style="92" customWidth="1"/>
    <col min="14590" max="14590" width="10.42578125" style="92" customWidth="1"/>
    <col min="14591" max="14591" width="9.7109375" style="92" customWidth="1"/>
    <col min="14592" max="14592" width="9.140625" style="92" customWidth="1"/>
    <col min="14593" max="14593" width="9.42578125" style="92" customWidth="1"/>
    <col min="14594" max="14594" width="7.42578125" style="92" customWidth="1"/>
    <col min="14595" max="14595" width="8.42578125" style="92" customWidth="1"/>
    <col min="14596" max="14596" width="8.28515625" style="92" customWidth="1"/>
    <col min="14597" max="14597" width="11.42578125" style="92" customWidth="1"/>
    <col min="14598" max="14610" width="8" style="92" customWidth="1"/>
    <col min="14611" max="14611" width="9.42578125" style="92" customWidth="1"/>
    <col min="14612" max="14612" width="6.7109375" style="92" customWidth="1"/>
    <col min="14613" max="14615" width="8.28515625" style="92" customWidth="1"/>
    <col min="14616" max="14616" width="8.7109375" style="92" customWidth="1"/>
    <col min="14617" max="14617" width="6.7109375" style="92" customWidth="1"/>
    <col min="14618" max="14820" width="8.7109375" style="92"/>
    <col min="14821" max="14821" width="5.140625" style="92" customWidth="1"/>
    <col min="14822" max="14822" width="24" style="92" customWidth="1"/>
    <col min="14823" max="14823" width="7.7109375" style="92" customWidth="1"/>
    <col min="14824" max="14824" width="8.7109375" style="92" customWidth="1"/>
    <col min="14825" max="14825" width="8.42578125" style="92" customWidth="1"/>
    <col min="14826" max="14826" width="9.42578125" style="92" customWidth="1"/>
    <col min="14827" max="14827" width="10.140625" style="92" customWidth="1"/>
    <col min="14828" max="14828" width="7.7109375" style="92" customWidth="1"/>
    <col min="14829" max="14830" width="9.42578125" style="92" customWidth="1"/>
    <col min="14831" max="14832" width="9.7109375" style="92" customWidth="1"/>
    <col min="14833" max="14833" width="8.7109375" style="92" customWidth="1"/>
    <col min="14834" max="14834" width="9.42578125" style="92" customWidth="1"/>
    <col min="14835" max="14835" width="6.7109375" style="92" customWidth="1"/>
    <col min="14836" max="14836" width="8.140625" style="92" customWidth="1"/>
    <col min="14837" max="14837" width="10.42578125" style="92" customWidth="1"/>
    <col min="14838" max="14838" width="8.42578125" style="92" customWidth="1"/>
    <col min="14839" max="14839" width="9.7109375" style="92" customWidth="1"/>
    <col min="14840" max="14840" width="9.42578125" style="92" customWidth="1"/>
    <col min="14841" max="14841" width="7.42578125" style="92" customWidth="1"/>
    <col min="14842" max="14842" width="8.42578125" style="92" customWidth="1"/>
    <col min="14843" max="14844" width="8.28515625" style="92" customWidth="1"/>
    <col min="14845" max="14845" width="11.42578125" style="92" customWidth="1"/>
    <col min="14846" max="14846" width="10.42578125" style="92" customWidth="1"/>
    <col min="14847" max="14847" width="9.7109375" style="92" customWidth="1"/>
    <col min="14848" max="14848" width="9.140625" style="92" customWidth="1"/>
    <col min="14849" max="14849" width="9.42578125" style="92" customWidth="1"/>
    <col min="14850" max="14850" width="7.42578125" style="92" customWidth="1"/>
    <col min="14851" max="14851" width="8.42578125" style="92" customWidth="1"/>
    <col min="14852" max="14852" width="8.28515625" style="92" customWidth="1"/>
    <col min="14853" max="14853" width="11.42578125" style="92" customWidth="1"/>
    <col min="14854" max="14866" width="8" style="92" customWidth="1"/>
    <col min="14867" max="14867" width="9.42578125" style="92" customWidth="1"/>
    <col min="14868" max="14868" width="6.7109375" style="92" customWidth="1"/>
    <col min="14869" max="14871" width="8.28515625" style="92" customWidth="1"/>
    <col min="14872" max="14872" width="8.7109375" style="92" customWidth="1"/>
    <col min="14873" max="14873" width="6.7109375" style="92" customWidth="1"/>
    <col min="14874" max="15076" width="8.7109375" style="92"/>
    <col min="15077" max="15077" width="5.140625" style="92" customWidth="1"/>
    <col min="15078" max="15078" width="24" style="92" customWidth="1"/>
    <col min="15079" max="15079" width="7.7109375" style="92" customWidth="1"/>
    <col min="15080" max="15080" width="8.7109375" style="92" customWidth="1"/>
    <col min="15081" max="15081" width="8.42578125" style="92" customWidth="1"/>
    <col min="15082" max="15082" width="9.42578125" style="92" customWidth="1"/>
    <col min="15083" max="15083" width="10.140625" style="92" customWidth="1"/>
    <col min="15084" max="15084" width="7.7109375" style="92" customWidth="1"/>
    <col min="15085" max="15086" width="9.42578125" style="92" customWidth="1"/>
    <col min="15087" max="15088" width="9.7109375" style="92" customWidth="1"/>
    <col min="15089" max="15089" width="8.7109375" style="92" customWidth="1"/>
    <col min="15090" max="15090" width="9.42578125" style="92" customWidth="1"/>
    <col min="15091" max="15091" width="6.7109375" style="92" customWidth="1"/>
    <col min="15092" max="15092" width="8.140625" style="92" customWidth="1"/>
    <col min="15093" max="15093" width="10.42578125" style="92" customWidth="1"/>
    <col min="15094" max="15094" width="8.42578125" style="92" customWidth="1"/>
    <col min="15095" max="15095" width="9.7109375" style="92" customWidth="1"/>
    <col min="15096" max="15096" width="9.42578125" style="92" customWidth="1"/>
    <col min="15097" max="15097" width="7.42578125" style="92" customWidth="1"/>
    <col min="15098" max="15098" width="8.42578125" style="92" customWidth="1"/>
    <col min="15099" max="15100" width="8.28515625" style="92" customWidth="1"/>
    <col min="15101" max="15101" width="11.42578125" style="92" customWidth="1"/>
    <col min="15102" max="15102" width="10.42578125" style="92" customWidth="1"/>
    <col min="15103" max="15103" width="9.7109375" style="92" customWidth="1"/>
    <col min="15104" max="15104" width="9.140625" style="92" customWidth="1"/>
    <col min="15105" max="15105" width="9.42578125" style="92" customWidth="1"/>
    <col min="15106" max="15106" width="7.42578125" style="92" customWidth="1"/>
    <col min="15107" max="15107" width="8.42578125" style="92" customWidth="1"/>
    <col min="15108" max="15108" width="8.28515625" style="92" customWidth="1"/>
    <col min="15109" max="15109" width="11.42578125" style="92" customWidth="1"/>
    <col min="15110" max="15122" width="8" style="92" customWidth="1"/>
    <col min="15123" max="15123" width="9.42578125" style="92" customWidth="1"/>
    <col min="15124" max="15124" width="6.7109375" style="92" customWidth="1"/>
    <col min="15125" max="15127" width="8.28515625" style="92" customWidth="1"/>
    <col min="15128" max="15128" width="8.7109375" style="92" customWidth="1"/>
    <col min="15129" max="15129" width="6.7109375" style="92" customWidth="1"/>
    <col min="15130" max="15332" width="8.7109375" style="92"/>
    <col min="15333" max="15333" width="5.140625" style="92" customWidth="1"/>
    <col min="15334" max="15334" width="24" style="92" customWidth="1"/>
    <col min="15335" max="15335" width="7.7109375" style="92" customWidth="1"/>
    <col min="15336" max="15336" width="8.7109375" style="92" customWidth="1"/>
    <col min="15337" max="15337" width="8.42578125" style="92" customWidth="1"/>
    <col min="15338" max="15338" width="9.42578125" style="92" customWidth="1"/>
    <col min="15339" max="15339" width="10.140625" style="92" customWidth="1"/>
    <col min="15340" max="15340" width="7.7109375" style="92" customWidth="1"/>
    <col min="15341" max="15342" width="9.42578125" style="92" customWidth="1"/>
    <col min="15343" max="15344" width="9.7109375" style="92" customWidth="1"/>
    <col min="15345" max="15345" width="8.7109375" style="92" customWidth="1"/>
    <col min="15346" max="15346" width="9.42578125" style="92" customWidth="1"/>
    <col min="15347" max="15347" width="6.7109375" style="92" customWidth="1"/>
    <col min="15348" max="15348" width="8.140625" style="92" customWidth="1"/>
    <col min="15349" max="15349" width="10.42578125" style="92" customWidth="1"/>
    <col min="15350" max="15350" width="8.42578125" style="92" customWidth="1"/>
    <col min="15351" max="15351" width="9.7109375" style="92" customWidth="1"/>
    <col min="15352" max="15352" width="9.42578125" style="92" customWidth="1"/>
    <col min="15353" max="15353" width="7.42578125" style="92" customWidth="1"/>
    <col min="15354" max="15354" width="8.42578125" style="92" customWidth="1"/>
    <col min="15355" max="15356" width="8.28515625" style="92" customWidth="1"/>
    <col min="15357" max="15357" width="11.42578125" style="92" customWidth="1"/>
    <col min="15358" max="15358" width="10.42578125" style="92" customWidth="1"/>
    <col min="15359" max="15359" width="9.7109375" style="92" customWidth="1"/>
    <col min="15360" max="15360" width="9.140625" style="92" customWidth="1"/>
    <col min="15361" max="15361" width="9.42578125" style="92" customWidth="1"/>
    <col min="15362" max="15362" width="7.42578125" style="92" customWidth="1"/>
    <col min="15363" max="15363" width="8.42578125" style="92" customWidth="1"/>
    <col min="15364" max="15364" width="8.28515625" style="92" customWidth="1"/>
    <col min="15365" max="15365" width="11.42578125" style="92" customWidth="1"/>
    <col min="15366" max="15378" width="8" style="92" customWidth="1"/>
    <col min="15379" max="15379" width="9.42578125" style="92" customWidth="1"/>
    <col min="15380" max="15380" width="6.7109375" style="92" customWidth="1"/>
    <col min="15381" max="15383" width="8.28515625" style="92" customWidth="1"/>
    <col min="15384" max="15384" width="8.7109375" style="92" customWidth="1"/>
    <col min="15385" max="15385" width="6.7109375" style="92" customWidth="1"/>
    <col min="15386" max="15588" width="8.7109375" style="92"/>
    <col min="15589" max="15589" width="5.140625" style="92" customWidth="1"/>
    <col min="15590" max="15590" width="24" style="92" customWidth="1"/>
    <col min="15591" max="15591" width="7.7109375" style="92" customWidth="1"/>
    <col min="15592" max="15592" width="8.7109375" style="92" customWidth="1"/>
    <col min="15593" max="15593" width="8.42578125" style="92" customWidth="1"/>
    <col min="15594" max="15594" width="9.42578125" style="92" customWidth="1"/>
    <col min="15595" max="15595" width="10.140625" style="92" customWidth="1"/>
    <col min="15596" max="15596" width="7.7109375" style="92" customWidth="1"/>
    <col min="15597" max="15598" width="9.42578125" style="92" customWidth="1"/>
    <col min="15599" max="15600" width="9.7109375" style="92" customWidth="1"/>
    <col min="15601" max="15601" width="8.7109375" style="92" customWidth="1"/>
    <col min="15602" max="15602" width="9.42578125" style="92" customWidth="1"/>
    <col min="15603" max="15603" width="6.7109375" style="92" customWidth="1"/>
    <col min="15604" max="15604" width="8.140625" style="92" customWidth="1"/>
    <col min="15605" max="15605" width="10.42578125" style="92" customWidth="1"/>
    <col min="15606" max="15606" width="8.42578125" style="92" customWidth="1"/>
    <col min="15607" max="15607" width="9.7109375" style="92" customWidth="1"/>
    <col min="15608" max="15608" width="9.42578125" style="92" customWidth="1"/>
    <col min="15609" max="15609" width="7.42578125" style="92" customWidth="1"/>
    <col min="15610" max="15610" width="8.42578125" style="92" customWidth="1"/>
    <col min="15611" max="15612" width="8.28515625" style="92" customWidth="1"/>
    <col min="15613" max="15613" width="11.42578125" style="92" customWidth="1"/>
    <col min="15614" max="15614" width="10.42578125" style="92" customWidth="1"/>
    <col min="15615" max="15615" width="9.7109375" style="92" customWidth="1"/>
    <col min="15616" max="15616" width="9.140625" style="92" customWidth="1"/>
    <col min="15617" max="15617" width="9.42578125" style="92" customWidth="1"/>
    <col min="15618" max="15618" width="7.42578125" style="92" customWidth="1"/>
    <col min="15619" max="15619" width="8.42578125" style="92" customWidth="1"/>
    <col min="15620" max="15620" width="8.28515625" style="92" customWidth="1"/>
    <col min="15621" max="15621" width="11.42578125" style="92" customWidth="1"/>
    <col min="15622" max="15634" width="8" style="92" customWidth="1"/>
    <col min="15635" max="15635" width="9.42578125" style="92" customWidth="1"/>
    <col min="15636" max="15636" width="6.7109375" style="92" customWidth="1"/>
    <col min="15637" max="15639" width="8.28515625" style="92" customWidth="1"/>
    <col min="15640" max="15640" width="8.7109375" style="92" customWidth="1"/>
    <col min="15641" max="15641" width="6.7109375" style="92" customWidth="1"/>
    <col min="15642" max="15844" width="8.7109375" style="92"/>
    <col min="15845" max="15845" width="5.140625" style="92" customWidth="1"/>
    <col min="15846" max="15846" width="24" style="92" customWidth="1"/>
    <col min="15847" max="15847" width="7.7109375" style="92" customWidth="1"/>
    <col min="15848" max="15848" width="8.7109375" style="92" customWidth="1"/>
    <col min="15849" max="15849" width="8.42578125" style="92" customWidth="1"/>
    <col min="15850" max="15850" width="9.42578125" style="92" customWidth="1"/>
    <col min="15851" max="15851" width="10.140625" style="92" customWidth="1"/>
    <col min="15852" max="15852" width="7.7109375" style="92" customWidth="1"/>
    <col min="15853" max="15854" width="9.42578125" style="92" customWidth="1"/>
    <col min="15855" max="15856" width="9.7109375" style="92" customWidth="1"/>
    <col min="15857" max="15857" width="8.7109375" style="92" customWidth="1"/>
    <col min="15858" max="15858" width="9.42578125" style="92" customWidth="1"/>
    <col min="15859" max="15859" width="6.7109375" style="92" customWidth="1"/>
    <col min="15860" max="15860" width="8.140625" style="92" customWidth="1"/>
    <col min="15861" max="15861" width="10.42578125" style="92" customWidth="1"/>
    <col min="15862" max="15862" width="8.42578125" style="92" customWidth="1"/>
    <col min="15863" max="15863" width="9.7109375" style="92" customWidth="1"/>
    <col min="15864" max="15864" width="9.42578125" style="92" customWidth="1"/>
    <col min="15865" max="15865" width="7.42578125" style="92" customWidth="1"/>
    <col min="15866" max="15866" width="8.42578125" style="92" customWidth="1"/>
    <col min="15867" max="15868" width="8.28515625" style="92" customWidth="1"/>
    <col min="15869" max="15869" width="11.42578125" style="92" customWidth="1"/>
    <col min="15870" max="15870" width="10.42578125" style="92" customWidth="1"/>
    <col min="15871" max="15871" width="9.7109375" style="92" customWidth="1"/>
    <col min="15872" max="15872" width="9.140625" style="92" customWidth="1"/>
    <col min="15873" max="15873" width="9.42578125" style="92" customWidth="1"/>
    <col min="15874" max="15874" width="7.42578125" style="92" customWidth="1"/>
    <col min="15875" max="15875" width="8.42578125" style="92" customWidth="1"/>
    <col min="15876" max="15876" width="8.28515625" style="92" customWidth="1"/>
    <col min="15877" max="15877" width="11.42578125" style="92" customWidth="1"/>
    <col min="15878" max="15890" width="8" style="92" customWidth="1"/>
    <col min="15891" max="15891" width="9.42578125" style="92" customWidth="1"/>
    <col min="15892" max="15892" width="6.7109375" style="92" customWidth="1"/>
    <col min="15893" max="15895" width="8.28515625" style="92" customWidth="1"/>
    <col min="15896" max="15896" width="8.7109375" style="92" customWidth="1"/>
    <col min="15897" max="15897" width="6.7109375" style="92" customWidth="1"/>
    <col min="15898" max="16100" width="8.7109375" style="92"/>
    <col min="16101" max="16101" width="5.140625" style="92" customWidth="1"/>
    <col min="16102" max="16102" width="24" style="92" customWidth="1"/>
    <col min="16103" max="16103" width="7.7109375" style="92" customWidth="1"/>
    <col min="16104" max="16104" width="8.7109375" style="92" customWidth="1"/>
    <col min="16105" max="16105" width="8.42578125" style="92" customWidth="1"/>
    <col min="16106" max="16106" width="9.42578125" style="92" customWidth="1"/>
    <col min="16107" max="16107" width="10.140625" style="92" customWidth="1"/>
    <col min="16108" max="16108" width="7.7109375" style="92" customWidth="1"/>
    <col min="16109" max="16110" width="9.42578125" style="92" customWidth="1"/>
    <col min="16111" max="16112" width="9.7109375" style="92" customWidth="1"/>
    <col min="16113" max="16113" width="8.7109375" style="92" customWidth="1"/>
    <col min="16114" max="16114" width="9.42578125" style="92" customWidth="1"/>
    <col min="16115" max="16115" width="6.7109375" style="92" customWidth="1"/>
    <col min="16116" max="16116" width="8.140625" style="92" customWidth="1"/>
    <col min="16117" max="16117" width="10.42578125" style="92" customWidth="1"/>
    <col min="16118" max="16118" width="8.42578125" style="92" customWidth="1"/>
    <col min="16119" max="16119" width="9.7109375" style="92" customWidth="1"/>
    <col min="16120" max="16120" width="9.42578125" style="92" customWidth="1"/>
    <col min="16121" max="16121" width="7.42578125" style="92" customWidth="1"/>
    <col min="16122" max="16122" width="8.42578125" style="92" customWidth="1"/>
    <col min="16123" max="16124" width="8.28515625" style="92" customWidth="1"/>
    <col min="16125" max="16125" width="11.42578125" style="92" customWidth="1"/>
    <col min="16126" max="16126" width="10.42578125" style="92" customWidth="1"/>
    <col min="16127" max="16127" width="9.7109375" style="92" customWidth="1"/>
    <col min="16128" max="16128" width="9.140625" style="92" customWidth="1"/>
    <col min="16129" max="16129" width="9.42578125" style="92" customWidth="1"/>
    <col min="16130" max="16130" width="7.42578125" style="92" customWidth="1"/>
    <col min="16131" max="16131" width="8.42578125" style="92" customWidth="1"/>
    <col min="16132" max="16132" width="8.28515625" style="92" customWidth="1"/>
    <col min="16133" max="16133" width="11.42578125" style="92" customWidth="1"/>
    <col min="16134" max="16146" width="8" style="92" customWidth="1"/>
    <col min="16147" max="16147" width="9.42578125" style="92" customWidth="1"/>
    <col min="16148" max="16148" width="6.7109375" style="92" customWidth="1"/>
    <col min="16149" max="16151" width="8.28515625" style="92" customWidth="1"/>
    <col min="16152" max="16152" width="8.7109375" style="92" customWidth="1"/>
    <col min="16153" max="16153" width="6.7109375" style="92" customWidth="1"/>
    <col min="16154" max="16384" width="8.7109375" style="92"/>
  </cols>
  <sheetData>
    <row r="1" spans="1:29" ht="24" customHeight="1">
      <c r="A1" s="1201" t="s">
        <v>521</v>
      </c>
      <c r="B1" s="1201"/>
      <c r="C1" s="1201"/>
      <c r="D1" s="1201"/>
      <c r="E1" s="1201"/>
      <c r="F1" s="1201"/>
      <c r="G1" s="1201"/>
      <c r="H1" s="1201"/>
      <c r="I1" s="1201"/>
      <c r="J1" s="1201"/>
      <c r="K1" s="1201"/>
      <c r="L1" s="1201"/>
      <c r="M1" s="1201"/>
      <c r="N1" s="139"/>
      <c r="O1" s="139"/>
      <c r="P1" s="139"/>
      <c r="Q1" s="1300" t="s">
        <v>1</v>
      </c>
      <c r="R1" s="1300"/>
      <c r="S1" s="1300"/>
      <c r="T1" s="1300"/>
      <c r="U1" s="1300"/>
      <c r="V1" s="1300"/>
      <c r="W1" s="1300"/>
      <c r="X1" s="1300"/>
      <c r="Y1" s="1300"/>
    </row>
    <row r="2" spans="1:29" ht="24.75" customHeight="1">
      <c r="A2" s="1252" t="s">
        <v>2</v>
      </c>
      <c r="B2" s="1252"/>
      <c r="C2" s="1252"/>
      <c r="D2" s="1252"/>
      <c r="E2" s="1252"/>
      <c r="F2" s="1252"/>
      <c r="G2" s="1252"/>
      <c r="H2" s="1252"/>
      <c r="I2" s="1252"/>
      <c r="J2" s="1252"/>
      <c r="K2" s="1252"/>
      <c r="L2" s="1252"/>
      <c r="M2" s="1252"/>
      <c r="N2" s="140"/>
      <c r="O2" s="140"/>
      <c r="P2" s="140"/>
      <c r="Q2" s="1301" t="s">
        <v>3</v>
      </c>
      <c r="R2" s="1301"/>
      <c r="S2" s="1301"/>
      <c r="T2" s="1301"/>
      <c r="U2" s="1301"/>
      <c r="V2" s="1301"/>
      <c r="W2" s="1301"/>
      <c r="X2" s="1301"/>
      <c r="Y2" s="1301"/>
    </row>
    <row r="3" spans="1:29" s="127" customFormat="1" ht="34.5" customHeight="1">
      <c r="A3" s="1253" t="s">
        <v>492</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row>
    <row r="4" spans="1:29" s="128" customFormat="1" ht="72" customHeight="1">
      <c r="A4" s="1201" t="s">
        <v>522</v>
      </c>
      <c r="B4" s="1201"/>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AC4" s="137"/>
    </row>
    <row r="5" spans="1:29" s="129" customFormat="1" ht="35.25" customHeight="1">
      <c r="A5" s="1254" t="s">
        <v>6</v>
      </c>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AC5" s="128"/>
    </row>
    <row r="6" spans="1:29" s="130" customFormat="1" ht="47.25" customHeight="1">
      <c r="A6" s="1242" t="s">
        <v>172</v>
      </c>
      <c r="B6" s="1241" t="s">
        <v>69</v>
      </c>
      <c r="C6" s="1241" t="s">
        <v>214</v>
      </c>
      <c r="D6" s="1241" t="s">
        <v>215</v>
      </c>
      <c r="E6" s="1241" t="s">
        <v>173</v>
      </c>
      <c r="F6" s="1242" t="s">
        <v>494</v>
      </c>
      <c r="G6" s="1242" t="s">
        <v>495</v>
      </c>
      <c r="H6" s="1241" t="s">
        <v>174</v>
      </c>
      <c r="I6" s="1241"/>
      <c r="J6" s="1241"/>
      <c r="K6" s="1241"/>
      <c r="L6" s="1241"/>
      <c r="M6" s="1241"/>
      <c r="N6" s="1241"/>
      <c r="O6" s="1241"/>
      <c r="P6" s="1241"/>
      <c r="Q6" s="1241" t="s">
        <v>523</v>
      </c>
      <c r="R6" s="1241"/>
      <c r="S6" s="1241"/>
      <c r="T6" s="1241"/>
      <c r="U6" s="1241"/>
      <c r="V6" s="1241"/>
      <c r="W6" s="1241"/>
      <c r="X6" s="1241"/>
      <c r="Y6" s="1241" t="s">
        <v>11</v>
      </c>
    </row>
    <row r="7" spans="1:29" s="130" customFormat="1" ht="33.75" customHeight="1">
      <c r="A7" s="1243"/>
      <c r="B7" s="1241"/>
      <c r="C7" s="1241"/>
      <c r="D7" s="1241"/>
      <c r="E7" s="1241"/>
      <c r="F7" s="1243"/>
      <c r="G7" s="1243"/>
      <c r="H7" s="1241" t="s">
        <v>501</v>
      </c>
      <c r="I7" s="1241" t="s">
        <v>73</v>
      </c>
      <c r="J7" s="1241"/>
      <c r="K7" s="1241"/>
      <c r="L7" s="1241"/>
      <c r="M7" s="1241"/>
      <c r="N7" s="1241"/>
      <c r="O7" s="1241"/>
      <c r="P7" s="1241"/>
      <c r="Q7" s="1241" t="s">
        <v>502</v>
      </c>
      <c r="R7" s="1241" t="s">
        <v>503</v>
      </c>
      <c r="S7" s="1241"/>
      <c r="T7" s="1241"/>
      <c r="U7" s="1241"/>
      <c r="V7" s="1241"/>
      <c r="W7" s="1241"/>
      <c r="X7" s="1241"/>
      <c r="Y7" s="1241"/>
    </row>
    <row r="8" spans="1:29" s="130" customFormat="1" ht="36.6" customHeight="1">
      <c r="A8" s="1243"/>
      <c r="B8" s="1241"/>
      <c r="C8" s="1241"/>
      <c r="D8" s="1241"/>
      <c r="E8" s="1241"/>
      <c r="F8" s="1243"/>
      <c r="G8" s="1243"/>
      <c r="H8" s="1241"/>
      <c r="I8" s="1241" t="s">
        <v>502</v>
      </c>
      <c r="J8" s="1241" t="s">
        <v>503</v>
      </c>
      <c r="K8" s="1241"/>
      <c r="L8" s="1241"/>
      <c r="M8" s="1241"/>
      <c r="N8" s="1241"/>
      <c r="O8" s="1241"/>
      <c r="P8" s="1241"/>
      <c r="Q8" s="1241"/>
      <c r="R8" s="1241" t="s">
        <v>504</v>
      </c>
      <c r="S8" s="1241"/>
      <c r="T8" s="1241"/>
      <c r="U8" s="1241"/>
      <c r="V8" s="1241" t="s">
        <v>505</v>
      </c>
      <c r="W8" s="1241"/>
      <c r="X8" s="1241"/>
      <c r="Y8" s="1241"/>
    </row>
    <row r="9" spans="1:29" s="130" customFormat="1" ht="30.75" customHeight="1">
      <c r="A9" s="1243"/>
      <c r="B9" s="1241"/>
      <c r="C9" s="1241"/>
      <c r="D9" s="1241"/>
      <c r="E9" s="1241"/>
      <c r="F9" s="1243"/>
      <c r="G9" s="1243"/>
      <c r="H9" s="1241"/>
      <c r="I9" s="1241"/>
      <c r="J9" s="1241" t="s">
        <v>506</v>
      </c>
      <c r="K9" s="1241"/>
      <c r="L9" s="1241"/>
      <c r="M9" s="1241" t="s">
        <v>507</v>
      </c>
      <c r="N9" s="1241"/>
      <c r="O9" s="1241"/>
      <c r="P9" s="1241"/>
      <c r="Q9" s="1241"/>
      <c r="R9" s="1241" t="s">
        <v>508</v>
      </c>
      <c r="S9" s="1241" t="s">
        <v>82</v>
      </c>
      <c r="T9" s="1241"/>
      <c r="U9" s="1241"/>
      <c r="V9" s="1241" t="s">
        <v>17</v>
      </c>
      <c r="W9" s="1241" t="s">
        <v>82</v>
      </c>
      <c r="X9" s="1241"/>
      <c r="Y9" s="1241"/>
    </row>
    <row r="10" spans="1:29" s="130" customFormat="1" ht="19.5" customHeight="1">
      <c r="A10" s="1243"/>
      <c r="B10" s="1241"/>
      <c r="C10" s="1241"/>
      <c r="D10" s="1241"/>
      <c r="E10" s="1241"/>
      <c r="F10" s="1243"/>
      <c r="G10" s="1243"/>
      <c r="H10" s="1241"/>
      <c r="I10" s="1241"/>
      <c r="J10" s="1241"/>
      <c r="K10" s="1241"/>
      <c r="L10" s="1241"/>
      <c r="M10" s="1241"/>
      <c r="N10" s="1241"/>
      <c r="O10" s="1241"/>
      <c r="P10" s="1241"/>
      <c r="Q10" s="1241"/>
      <c r="R10" s="1241"/>
      <c r="S10" s="1241" t="s">
        <v>25</v>
      </c>
      <c r="T10" s="1241" t="s">
        <v>19</v>
      </c>
      <c r="U10" s="1241" t="s">
        <v>261</v>
      </c>
      <c r="V10" s="1241"/>
      <c r="W10" s="1241" t="s">
        <v>509</v>
      </c>
      <c r="X10" s="1241" t="s">
        <v>510</v>
      </c>
      <c r="Y10" s="1241"/>
    </row>
    <row r="11" spans="1:29" s="130" customFormat="1" ht="32.25" customHeight="1">
      <c r="A11" s="1243"/>
      <c r="B11" s="1241"/>
      <c r="C11" s="1241"/>
      <c r="D11" s="1241"/>
      <c r="E11" s="1241"/>
      <c r="F11" s="1243"/>
      <c r="G11" s="1243"/>
      <c r="H11" s="1241"/>
      <c r="I11" s="1241"/>
      <c r="J11" s="1241" t="s">
        <v>508</v>
      </c>
      <c r="K11" s="1241" t="s">
        <v>75</v>
      </c>
      <c r="L11" s="1241"/>
      <c r="M11" s="1241" t="s">
        <v>511</v>
      </c>
      <c r="N11" s="1241" t="s">
        <v>512</v>
      </c>
      <c r="O11" s="1241"/>
      <c r="P11" s="1241"/>
      <c r="Q11" s="1241"/>
      <c r="R11" s="1241"/>
      <c r="S11" s="1241"/>
      <c r="T11" s="1241"/>
      <c r="U11" s="1241"/>
      <c r="V11" s="1241"/>
      <c r="W11" s="1241"/>
      <c r="X11" s="1241"/>
      <c r="Y11" s="1241"/>
    </row>
    <row r="12" spans="1:29" s="130" customFormat="1" ht="30" customHeight="1">
      <c r="A12" s="1243"/>
      <c r="B12" s="1241"/>
      <c r="C12" s="1241"/>
      <c r="D12" s="1241"/>
      <c r="E12" s="1241"/>
      <c r="F12" s="1243"/>
      <c r="G12" s="1243"/>
      <c r="H12" s="1241"/>
      <c r="I12" s="1241"/>
      <c r="J12" s="1241"/>
      <c r="K12" s="1241" t="s">
        <v>25</v>
      </c>
      <c r="L12" s="1241" t="s">
        <v>261</v>
      </c>
      <c r="M12" s="1241"/>
      <c r="N12" s="1241" t="s">
        <v>17</v>
      </c>
      <c r="O12" s="1241" t="s">
        <v>75</v>
      </c>
      <c r="P12" s="1241"/>
      <c r="Q12" s="1241"/>
      <c r="R12" s="1241"/>
      <c r="S12" s="1241"/>
      <c r="T12" s="1241"/>
      <c r="U12" s="1241"/>
      <c r="V12" s="1241"/>
      <c r="W12" s="1241"/>
      <c r="X12" s="1241"/>
      <c r="Y12" s="1241"/>
    </row>
    <row r="13" spans="1:29" s="130" customFormat="1" ht="56.25">
      <c r="A13" s="1244"/>
      <c r="B13" s="1241"/>
      <c r="C13" s="1241"/>
      <c r="D13" s="1241"/>
      <c r="E13" s="1241"/>
      <c r="F13" s="1244"/>
      <c r="G13" s="1244"/>
      <c r="H13" s="1241"/>
      <c r="I13" s="1241"/>
      <c r="J13" s="1241"/>
      <c r="K13" s="1241"/>
      <c r="L13" s="1241"/>
      <c r="M13" s="1241"/>
      <c r="N13" s="1241"/>
      <c r="O13" s="2" t="s">
        <v>509</v>
      </c>
      <c r="P13" s="2" t="s">
        <v>510</v>
      </c>
      <c r="Q13" s="1241"/>
      <c r="R13" s="1241"/>
      <c r="S13" s="1241"/>
      <c r="T13" s="1241"/>
      <c r="U13" s="1241"/>
      <c r="V13" s="1241"/>
      <c r="W13" s="1241"/>
      <c r="X13" s="1241"/>
      <c r="Y13" s="1241"/>
    </row>
    <row r="14" spans="1:29" s="131" customFormat="1" ht="24" customHeight="1">
      <c r="A14" s="2">
        <v>1</v>
      </c>
      <c r="B14" s="2">
        <f>A14+1</f>
        <v>2</v>
      </c>
      <c r="C14" s="2">
        <f t="shared" ref="C14:Y14" si="0">B14+1</f>
        <v>3</v>
      </c>
      <c r="D14" s="2">
        <f t="shared" si="0"/>
        <v>4</v>
      </c>
      <c r="E14" s="2">
        <f t="shared" si="0"/>
        <v>5</v>
      </c>
      <c r="F14" s="2">
        <f t="shared" si="0"/>
        <v>6</v>
      </c>
      <c r="G14" s="2">
        <f t="shared" si="0"/>
        <v>7</v>
      </c>
      <c r="H14" s="2">
        <f t="shared" si="0"/>
        <v>8</v>
      </c>
      <c r="I14" s="2">
        <f t="shared" si="0"/>
        <v>9</v>
      </c>
      <c r="J14" s="2">
        <f t="shared" si="0"/>
        <v>10</v>
      </c>
      <c r="K14" s="2">
        <f t="shared" si="0"/>
        <v>11</v>
      </c>
      <c r="L14" s="2">
        <f t="shared" si="0"/>
        <v>12</v>
      </c>
      <c r="M14" s="2">
        <f t="shared" si="0"/>
        <v>13</v>
      </c>
      <c r="N14" s="2">
        <f t="shared" si="0"/>
        <v>14</v>
      </c>
      <c r="O14" s="2">
        <f t="shared" si="0"/>
        <v>15</v>
      </c>
      <c r="P14" s="2">
        <f t="shared" si="0"/>
        <v>16</v>
      </c>
      <c r="Q14" s="2">
        <f t="shared" si="0"/>
        <v>17</v>
      </c>
      <c r="R14" s="2">
        <f t="shared" si="0"/>
        <v>18</v>
      </c>
      <c r="S14" s="2">
        <f t="shared" si="0"/>
        <v>19</v>
      </c>
      <c r="T14" s="2">
        <f t="shared" si="0"/>
        <v>20</v>
      </c>
      <c r="U14" s="2">
        <f t="shared" si="0"/>
        <v>21</v>
      </c>
      <c r="V14" s="2">
        <f t="shared" si="0"/>
        <v>22</v>
      </c>
      <c r="W14" s="2">
        <f t="shared" si="0"/>
        <v>23</v>
      </c>
      <c r="X14" s="2">
        <f t="shared" si="0"/>
        <v>24</v>
      </c>
      <c r="Y14" s="2">
        <f t="shared" si="0"/>
        <v>25</v>
      </c>
    </row>
    <row r="15" spans="1:29" s="131" customFormat="1" ht="36.75" customHeight="1">
      <c r="A15" s="2"/>
      <c r="B15" s="135" t="s">
        <v>27</v>
      </c>
      <c r="C15" s="2"/>
      <c r="D15" s="2"/>
      <c r="E15" s="2"/>
      <c r="F15" s="2"/>
      <c r="G15" s="2"/>
      <c r="H15" s="2"/>
      <c r="I15" s="2"/>
      <c r="J15" s="2"/>
      <c r="K15" s="2"/>
      <c r="L15" s="2"/>
      <c r="M15" s="2"/>
      <c r="N15" s="2"/>
      <c r="O15" s="2"/>
      <c r="P15" s="2"/>
      <c r="Q15" s="2"/>
      <c r="R15" s="2"/>
      <c r="S15" s="2"/>
      <c r="T15" s="2"/>
      <c r="U15" s="2"/>
      <c r="V15" s="2"/>
      <c r="W15" s="2"/>
      <c r="X15" s="2"/>
      <c r="Y15" s="2"/>
    </row>
    <row r="16" spans="1:29" s="131" customFormat="1" ht="47.65" customHeight="1">
      <c r="A16" s="135" t="s">
        <v>513</v>
      </c>
      <c r="B16" s="17" t="s">
        <v>514</v>
      </c>
      <c r="C16" s="2"/>
      <c r="D16" s="2"/>
      <c r="E16" s="2"/>
      <c r="F16" s="2"/>
      <c r="G16" s="2"/>
      <c r="H16" s="2"/>
      <c r="I16" s="2"/>
      <c r="J16" s="2"/>
      <c r="K16" s="2"/>
      <c r="L16" s="2"/>
      <c r="M16" s="2"/>
      <c r="N16" s="2"/>
      <c r="O16" s="2"/>
      <c r="P16" s="2"/>
      <c r="Q16" s="2"/>
      <c r="R16" s="2"/>
      <c r="S16" s="2"/>
      <c r="T16" s="2"/>
      <c r="U16" s="2"/>
      <c r="V16" s="2"/>
      <c r="W16" s="2"/>
      <c r="X16" s="2"/>
      <c r="Y16" s="2"/>
    </row>
    <row r="17" spans="1:25" s="94" customFormat="1" ht="82.9" customHeight="1">
      <c r="A17" s="15"/>
      <c r="B17" s="104" t="s">
        <v>201</v>
      </c>
      <c r="C17" s="112"/>
      <c r="D17" s="112"/>
      <c r="E17" s="112"/>
      <c r="F17" s="112"/>
      <c r="G17" s="112"/>
      <c r="H17" s="113"/>
      <c r="I17" s="113"/>
      <c r="J17" s="113"/>
      <c r="K17" s="113"/>
      <c r="L17" s="113"/>
      <c r="M17" s="113"/>
      <c r="N17" s="113"/>
      <c r="O17" s="113"/>
      <c r="P17" s="113"/>
      <c r="Q17" s="123"/>
      <c r="R17" s="123"/>
      <c r="S17" s="123"/>
      <c r="T17" s="123"/>
      <c r="U17" s="123"/>
      <c r="V17" s="123"/>
      <c r="W17" s="123"/>
      <c r="X17" s="123"/>
      <c r="Y17" s="123"/>
    </row>
    <row r="18" spans="1:25" s="94" customFormat="1" ht="76.150000000000006" customHeight="1">
      <c r="A18" s="15" t="s">
        <v>28</v>
      </c>
      <c r="B18" s="193" t="s">
        <v>524</v>
      </c>
      <c r="C18" s="112"/>
      <c r="D18" s="112"/>
      <c r="E18" s="112"/>
      <c r="F18" s="112"/>
      <c r="G18" s="112"/>
      <c r="H18" s="113"/>
      <c r="I18" s="113"/>
      <c r="J18" s="113"/>
      <c r="K18" s="113"/>
      <c r="L18" s="113"/>
      <c r="M18" s="113"/>
      <c r="N18" s="113"/>
      <c r="O18" s="113"/>
      <c r="P18" s="113"/>
      <c r="Q18" s="123"/>
      <c r="R18" s="123"/>
      <c r="S18" s="123"/>
      <c r="T18" s="123"/>
      <c r="U18" s="123"/>
      <c r="V18" s="123"/>
      <c r="W18" s="123"/>
      <c r="X18" s="123"/>
      <c r="Y18" s="123"/>
    </row>
    <row r="19" spans="1:25" ht="40.15" customHeight="1">
      <c r="A19" s="111" t="s">
        <v>190</v>
      </c>
      <c r="B19" s="20" t="s">
        <v>191</v>
      </c>
      <c r="C19" s="105"/>
      <c r="D19" s="105"/>
      <c r="E19" s="105"/>
      <c r="F19" s="105"/>
      <c r="G19" s="105"/>
      <c r="H19" s="106"/>
      <c r="I19" s="106"/>
      <c r="J19" s="106"/>
      <c r="K19" s="106"/>
      <c r="L19" s="106"/>
      <c r="M19" s="106"/>
      <c r="N19" s="106"/>
      <c r="O19" s="106"/>
      <c r="P19" s="106"/>
      <c r="Q19" s="121"/>
      <c r="R19" s="121"/>
      <c r="S19" s="121"/>
      <c r="T19" s="121"/>
      <c r="U19" s="121"/>
      <c r="V19" s="121"/>
      <c r="W19" s="121"/>
      <c r="X19" s="121"/>
      <c r="Y19" s="121"/>
    </row>
    <row r="20" spans="1:25" ht="30" customHeight="1">
      <c r="A20" s="111" t="s">
        <v>192</v>
      </c>
      <c r="B20" s="189" t="s">
        <v>193</v>
      </c>
      <c r="C20" s="105"/>
      <c r="D20" s="105"/>
      <c r="E20" s="105"/>
      <c r="F20" s="105"/>
      <c r="G20" s="105"/>
      <c r="H20" s="106"/>
      <c r="I20" s="106"/>
      <c r="J20" s="106"/>
      <c r="K20" s="106"/>
      <c r="L20" s="106"/>
      <c r="M20" s="106"/>
      <c r="N20" s="106"/>
      <c r="O20" s="106"/>
      <c r="P20" s="106"/>
      <c r="Q20" s="121"/>
      <c r="R20" s="121"/>
      <c r="S20" s="121"/>
      <c r="T20" s="121"/>
      <c r="U20" s="121"/>
      <c r="V20" s="121"/>
      <c r="W20" s="121"/>
      <c r="X20" s="121"/>
      <c r="Y20" s="121"/>
    </row>
    <row r="21" spans="1:25" ht="60" customHeight="1">
      <c r="A21" s="15" t="s">
        <v>30</v>
      </c>
      <c r="B21" s="193" t="s">
        <v>516</v>
      </c>
      <c r="C21" s="105"/>
      <c r="D21" s="105"/>
      <c r="E21" s="105"/>
      <c r="F21" s="105"/>
      <c r="G21" s="105"/>
      <c r="H21" s="106"/>
      <c r="I21" s="106"/>
      <c r="J21" s="106"/>
      <c r="K21" s="106"/>
      <c r="L21" s="106"/>
      <c r="M21" s="106"/>
      <c r="N21" s="106"/>
      <c r="O21" s="106"/>
      <c r="P21" s="106"/>
      <c r="Q21" s="121"/>
      <c r="R21" s="121"/>
      <c r="S21" s="121"/>
      <c r="T21" s="121"/>
      <c r="U21" s="121"/>
      <c r="V21" s="121"/>
      <c r="W21" s="121"/>
      <c r="X21" s="121"/>
      <c r="Y21" s="121"/>
    </row>
    <row r="22" spans="1:25" ht="43.9" customHeight="1">
      <c r="A22" s="111" t="s">
        <v>190</v>
      </c>
      <c r="B22" s="20" t="s">
        <v>191</v>
      </c>
      <c r="C22" s="105"/>
      <c r="D22" s="105"/>
      <c r="E22" s="105"/>
      <c r="F22" s="105"/>
      <c r="G22" s="105"/>
      <c r="H22" s="106"/>
      <c r="I22" s="106"/>
      <c r="J22" s="106"/>
      <c r="K22" s="106"/>
      <c r="L22" s="106"/>
      <c r="M22" s="106"/>
      <c r="N22" s="106"/>
      <c r="O22" s="106"/>
      <c r="P22" s="106"/>
      <c r="Q22" s="121"/>
      <c r="R22" s="121"/>
      <c r="S22" s="121"/>
      <c r="T22" s="121"/>
      <c r="U22" s="121"/>
      <c r="V22" s="121"/>
      <c r="W22" s="121"/>
      <c r="X22" s="121"/>
      <c r="Y22" s="121"/>
    </row>
    <row r="23" spans="1:25" ht="30" customHeight="1">
      <c r="A23" s="111" t="s">
        <v>192</v>
      </c>
      <c r="B23" s="189" t="s">
        <v>193</v>
      </c>
      <c r="C23" s="105"/>
      <c r="D23" s="105"/>
      <c r="E23" s="105"/>
      <c r="F23" s="105"/>
      <c r="G23" s="105"/>
      <c r="H23" s="106"/>
      <c r="I23" s="106"/>
      <c r="J23" s="106"/>
      <c r="K23" s="106"/>
      <c r="L23" s="106"/>
      <c r="M23" s="106"/>
      <c r="N23" s="106"/>
      <c r="O23" s="106"/>
      <c r="P23" s="106"/>
      <c r="Q23" s="121"/>
      <c r="R23" s="121"/>
      <c r="S23" s="121"/>
      <c r="T23" s="121"/>
      <c r="U23" s="121"/>
      <c r="V23" s="121"/>
      <c r="W23" s="121"/>
      <c r="X23" s="121"/>
      <c r="Y23" s="121"/>
    </row>
    <row r="24" spans="1:25" s="131" customFormat="1" ht="36.75" customHeight="1">
      <c r="A24" s="15" t="s">
        <v>109</v>
      </c>
      <c r="B24" s="17" t="s">
        <v>514</v>
      </c>
      <c r="C24" s="2"/>
      <c r="D24" s="2"/>
      <c r="E24" s="2"/>
      <c r="F24" s="2"/>
      <c r="G24" s="2"/>
      <c r="H24" s="2"/>
      <c r="I24" s="2"/>
      <c r="J24" s="2"/>
      <c r="K24" s="2"/>
      <c r="L24" s="2"/>
      <c r="M24" s="2"/>
      <c r="N24" s="2"/>
      <c r="O24" s="2"/>
      <c r="P24" s="2"/>
      <c r="Q24" s="2"/>
      <c r="R24" s="2"/>
      <c r="S24" s="2"/>
      <c r="T24" s="2"/>
      <c r="U24" s="2"/>
      <c r="V24" s="2"/>
      <c r="W24" s="2"/>
      <c r="X24" s="2"/>
      <c r="Y24" s="2"/>
    </row>
    <row r="25" spans="1:25" s="131" customFormat="1" ht="41.25" customHeight="1">
      <c r="A25" s="111"/>
      <c r="B25" s="20" t="s">
        <v>206</v>
      </c>
      <c r="C25" s="2"/>
      <c r="D25" s="2"/>
      <c r="E25" s="2"/>
      <c r="F25" s="2"/>
      <c r="G25" s="2"/>
      <c r="H25" s="2"/>
      <c r="I25" s="2"/>
      <c r="J25" s="2"/>
      <c r="K25" s="2"/>
      <c r="L25" s="2"/>
      <c r="M25" s="2"/>
      <c r="N25" s="2"/>
      <c r="O25" s="2"/>
      <c r="P25" s="2"/>
      <c r="Q25" s="2"/>
      <c r="R25" s="2"/>
      <c r="S25" s="2"/>
      <c r="T25" s="2"/>
      <c r="U25" s="2"/>
      <c r="V25" s="2"/>
      <c r="W25" s="2"/>
      <c r="X25" s="2"/>
      <c r="Y25" s="2"/>
    </row>
    <row r="26" spans="1:25" s="131" customFormat="1" ht="13.5" customHeight="1">
      <c r="A26" s="2"/>
      <c r="B26" s="136"/>
      <c r="C26" s="2"/>
      <c r="D26" s="2"/>
      <c r="E26" s="2"/>
      <c r="F26" s="2"/>
      <c r="G26" s="2"/>
      <c r="H26" s="2"/>
      <c r="I26" s="2"/>
      <c r="J26" s="2"/>
      <c r="K26" s="2"/>
      <c r="L26" s="2"/>
      <c r="M26" s="2"/>
      <c r="N26" s="2"/>
      <c r="O26" s="2"/>
      <c r="P26" s="2"/>
      <c r="Q26" s="2"/>
      <c r="R26" s="2"/>
      <c r="S26" s="2"/>
      <c r="T26" s="2"/>
      <c r="U26" s="2"/>
      <c r="V26" s="2"/>
      <c r="W26" s="2"/>
      <c r="X26" s="2"/>
      <c r="Y26" s="2"/>
    </row>
    <row r="27" spans="1:25" s="96" customFormat="1" ht="26.25" customHeight="1">
      <c r="A27" s="117"/>
      <c r="B27" s="1294" t="s">
        <v>208</v>
      </c>
      <c r="C27" s="1294"/>
      <c r="D27" s="1294"/>
      <c r="E27" s="1294"/>
      <c r="F27" s="1294"/>
      <c r="G27" s="1294"/>
      <c r="H27" s="1294"/>
      <c r="I27" s="1294"/>
      <c r="J27" s="1294"/>
      <c r="K27" s="1294"/>
      <c r="L27" s="1294"/>
      <c r="M27" s="1294"/>
      <c r="N27" s="1294"/>
      <c r="O27" s="1294"/>
      <c r="P27" s="1294"/>
      <c r="Q27" s="1294"/>
      <c r="R27" s="1294"/>
      <c r="S27" s="1294"/>
      <c r="T27" s="1294"/>
      <c r="U27" s="1294"/>
      <c r="V27" s="1294"/>
      <c r="W27" s="1294"/>
      <c r="X27" s="1294"/>
      <c r="Y27" s="1294"/>
    </row>
    <row r="28" spans="1:25" s="96" customFormat="1" ht="64.150000000000006" customHeight="1">
      <c r="A28" s="117"/>
      <c r="B28" s="1295" t="s">
        <v>517</v>
      </c>
      <c r="C28" s="1296"/>
      <c r="D28" s="1296"/>
      <c r="E28" s="1296"/>
      <c r="F28" s="1296"/>
      <c r="G28" s="1296"/>
      <c r="H28" s="1296"/>
      <c r="I28" s="1296"/>
      <c r="J28" s="1296"/>
      <c r="K28" s="1296"/>
      <c r="L28" s="1296"/>
      <c r="M28" s="1296"/>
      <c r="N28" s="1296"/>
      <c r="O28" s="1296"/>
      <c r="P28" s="1296"/>
      <c r="Q28" s="1296"/>
      <c r="R28" s="1296"/>
      <c r="S28" s="1296"/>
      <c r="T28" s="1296"/>
      <c r="U28" s="1296"/>
      <c r="V28" s="1296"/>
      <c r="W28" s="1296"/>
      <c r="X28" s="1296"/>
      <c r="Y28" s="1296"/>
    </row>
    <row r="29" spans="1:25" s="96" customFormat="1" ht="24" customHeight="1">
      <c r="A29" s="117"/>
      <c r="B29" s="1297" t="s">
        <v>518</v>
      </c>
      <c r="C29" s="1297"/>
      <c r="D29" s="1297"/>
      <c r="E29" s="1297"/>
      <c r="F29" s="1297"/>
      <c r="G29" s="1297"/>
      <c r="H29" s="1297"/>
      <c r="I29" s="1297"/>
      <c r="J29" s="1297"/>
      <c r="K29" s="1297"/>
      <c r="L29" s="1297"/>
      <c r="M29" s="1297"/>
      <c r="N29" s="1297"/>
      <c r="O29" s="1297"/>
      <c r="P29" s="1297"/>
      <c r="Q29" s="1297"/>
      <c r="R29" s="1297"/>
      <c r="S29" s="1297"/>
      <c r="T29" s="1297"/>
      <c r="U29" s="1297"/>
      <c r="V29" s="1297"/>
      <c r="W29" s="1297"/>
      <c r="X29" s="1297"/>
      <c r="Y29" s="1297"/>
    </row>
    <row r="30" spans="1:25" s="96" customFormat="1" ht="64.150000000000006" customHeight="1">
      <c r="A30" s="117"/>
      <c r="B30" s="1247" t="s">
        <v>525</v>
      </c>
      <c r="C30" s="1248"/>
      <c r="D30" s="1248"/>
      <c r="E30" s="1248"/>
      <c r="F30" s="1248"/>
      <c r="G30" s="1248"/>
      <c r="H30" s="1248"/>
      <c r="I30" s="1248"/>
      <c r="J30" s="1248"/>
      <c r="K30" s="1248"/>
      <c r="L30" s="1248"/>
      <c r="M30" s="1248"/>
      <c r="N30" s="1248"/>
      <c r="O30" s="1248"/>
      <c r="P30" s="1248"/>
      <c r="Q30" s="1248"/>
      <c r="R30" s="1248"/>
      <c r="S30" s="1248"/>
      <c r="T30" s="1248"/>
      <c r="U30" s="1248"/>
      <c r="V30" s="1248"/>
      <c r="W30" s="1248"/>
      <c r="X30" s="1248"/>
      <c r="Y30" s="1248"/>
    </row>
    <row r="31" spans="1:25" ht="20.25">
      <c r="A31" s="92"/>
      <c r="B31" s="192" t="s">
        <v>526</v>
      </c>
      <c r="C31" s="92"/>
      <c r="D31" s="92"/>
      <c r="E31" s="92"/>
      <c r="F31" s="92"/>
      <c r="G31" s="92"/>
      <c r="H31" s="92"/>
      <c r="I31" s="92"/>
      <c r="J31" s="92"/>
      <c r="K31" s="92"/>
      <c r="L31" s="92"/>
      <c r="M31" s="92"/>
      <c r="N31" s="92"/>
      <c r="O31" s="92"/>
      <c r="P31" s="92"/>
      <c r="Q31" s="92"/>
      <c r="R31" s="92"/>
      <c r="S31" s="92"/>
      <c r="T31" s="92"/>
      <c r="U31" s="92"/>
      <c r="V31" s="92"/>
      <c r="W31" s="92"/>
      <c r="X31" s="92"/>
      <c r="Y31" s="92"/>
    </row>
    <row r="32" spans="1:25">
      <c r="A32" s="92"/>
      <c r="B32" s="92"/>
      <c r="C32" s="92"/>
      <c r="D32" s="92"/>
      <c r="E32" s="92"/>
      <c r="F32" s="92"/>
      <c r="G32" s="92"/>
      <c r="H32" s="92"/>
      <c r="I32" s="92"/>
      <c r="J32" s="92"/>
      <c r="K32" s="92"/>
      <c r="L32" s="92"/>
      <c r="M32" s="92"/>
      <c r="N32" s="92"/>
      <c r="O32" s="92"/>
      <c r="P32" s="92"/>
      <c r="Q32" s="92"/>
      <c r="R32" s="92"/>
      <c r="S32" s="92"/>
      <c r="T32" s="92"/>
      <c r="U32" s="92"/>
      <c r="V32" s="92"/>
      <c r="W32" s="92"/>
      <c r="X32" s="92"/>
      <c r="Y32" s="92"/>
    </row>
    <row r="33" s="92" customFormat="1"/>
    <row r="34" s="92" customFormat="1"/>
    <row r="35" s="92" customFormat="1"/>
    <row r="36" s="92" customFormat="1"/>
    <row r="37" s="92" customFormat="1"/>
    <row r="38" s="92" customFormat="1"/>
    <row r="39" s="92" customFormat="1"/>
    <row r="40" s="92" customFormat="1"/>
    <row r="41" s="92" customFormat="1"/>
    <row r="42" s="92" customFormat="1"/>
    <row r="43" s="92" customFormat="1"/>
    <row r="44" s="92" customFormat="1"/>
    <row r="45" s="92" customFormat="1"/>
    <row r="46" s="92" customFormat="1"/>
    <row r="47" s="92" customFormat="1"/>
    <row r="48" s="92" customFormat="1"/>
    <row r="49" s="92" customFormat="1"/>
    <row r="50" s="92" customFormat="1"/>
    <row r="51" s="92" customFormat="1"/>
    <row r="52" s="92" customFormat="1"/>
    <row r="53" s="92" customFormat="1"/>
    <row r="54" s="92" customFormat="1"/>
    <row r="55" s="92" customFormat="1"/>
    <row r="56" s="92" customFormat="1"/>
    <row r="57" s="92" customFormat="1"/>
    <row r="58" s="92" customFormat="1"/>
    <row r="59" s="92" customFormat="1"/>
    <row r="60" s="92" customFormat="1"/>
    <row r="61" s="92" customFormat="1"/>
    <row r="62" s="92" customFormat="1"/>
    <row r="63" s="92" customFormat="1"/>
    <row r="64" s="92" customFormat="1"/>
    <row r="65" s="92" customFormat="1"/>
    <row r="66" s="92" customFormat="1"/>
    <row r="67" s="92" customFormat="1"/>
    <row r="68" s="92" customFormat="1"/>
    <row r="69" s="92" customFormat="1"/>
    <row r="70" s="92" customFormat="1"/>
    <row r="71" s="92" customFormat="1"/>
    <row r="72" s="92" customFormat="1"/>
    <row r="73" s="92" customFormat="1"/>
    <row r="74" s="92" customFormat="1"/>
    <row r="75" s="92" customFormat="1"/>
    <row r="76" s="92" customFormat="1"/>
    <row r="77" s="92" customFormat="1"/>
    <row r="78" s="92" customFormat="1"/>
    <row r="79" s="92" customFormat="1"/>
    <row r="80" s="92" customFormat="1"/>
    <row r="81" s="92" customFormat="1"/>
    <row r="82" s="92" customFormat="1"/>
    <row r="83" s="92" customFormat="1"/>
    <row r="84" s="92" customFormat="1"/>
    <row r="85" s="92" customFormat="1"/>
    <row r="86" s="92" customFormat="1"/>
    <row r="87" s="92" customFormat="1"/>
    <row r="88" s="92" customFormat="1"/>
    <row r="89" s="92" customFormat="1"/>
    <row r="90" s="92" customFormat="1"/>
    <row r="91" s="92" customFormat="1"/>
    <row r="92" s="92" customFormat="1"/>
    <row r="93" s="92" customFormat="1"/>
    <row r="94" s="92" customFormat="1"/>
    <row r="95" s="92" customFormat="1"/>
    <row r="96" s="92" customFormat="1"/>
    <row r="97" s="92" customFormat="1"/>
    <row r="98" s="92" customFormat="1"/>
    <row r="99" s="92" customFormat="1"/>
    <row r="100" s="92" customFormat="1"/>
    <row r="101" s="92" customFormat="1"/>
    <row r="102" s="92" customFormat="1"/>
    <row r="103" s="92" customFormat="1"/>
    <row r="104" s="92" customFormat="1"/>
    <row r="105" s="92" customFormat="1"/>
    <row r="106" s="92" customFormat="1"/>
    <row r="107" s="92" customFormat="1"/>
    <row r="108" s="92" customFormat="1"/>
    <row r="109" s="92" customFormat="1"/>
    <row r="110" s="92" customFormat="1"/>
    <row r="111" s="92" customFormat="1"/>
    <row r="112" s="92" customFormat="1"/>
    <row r="113" s="92" customFormat="1"/>
    <row r="114" s="92" customFormat="1"/>
    <row r="115" s="92" customFormat="1"/>
    <row r="116" s="92" customFormat="1"/>
    <row r="117" s="92" customFormat="1"/>
    <row r="118" s="92" customFormat="1"/>
    <row r="119" s="92" customFormat="1"/>
    <row r="120" s="92" customFormat="1"/>
    <row r="121" s="92" customFormat="1"/>
    <row r="122" s="92" customFormat="1"/>
    <row r="123" s="92" customFormat="1"/>
    <row r="124" s="92" customFormat="1"/>
    <row r="125" s="92" customFormat="1"/>
    <row r="126" s="92" customFormat="1"/>
    <row r="127" s="92" customFormat="1"/>
    <row r="128" s="92" customFormat="1"/>
    <row r="129" s="92" customFormat="1"/>
    <row r="130" s="92" customFormat="1"/>
    <row r="131" s="92" customFormat="1"/>
    <row r="132" s="92" customFormat="1"/>
    <row r="133" s="92" customFormat="1"/>
    <row r="134" s="92" customFormat="1"/>
    <row r="135" s="92" customFormat="1"/>
    <row r="136" s="92" customFormat="1"/>
    <row r="137" s="92" customFormat="1"/>
    <row r="138" s="92" customFormat="1"/>
    <row r="139" s="92" customFormat="1"/>
    <row r="140" s="92" customFormat="1"/>
    <row r="141" s="92" customFormat="1"/>
    <row r="142" s="92" customFormat="1"/>
    <row r="143" s="92" customFormat="1"/>
    <row r="144" s="92" customFormat="1"/>
    <row r="145" s="92" customFormat="1"/>
    <row r="146" s="92" customFormat="1"/>
    <row r="147" s="92" customFormat="1"/>
    <row r="148" s="92" customFormat="1"/>
    <row r="149" s="92" customFormat="1"/>
    <row r="150" s="92" customFormat="1"/>
    <row r="151" s="92" customFormat="1"/>
    <row r="152" s="92" customFormat="1"/>
    <row r="153" s="92" customFormat="1"/>
    <row r="154" s="92" customFormat="1"/>
    <row r="155" s="92" customFormat="1"/>
    <row r="156" s="92" customFormat="1"/>
    <row r="157" s="92" customFormat="1"/>
    <row r="158" s="92" customFormat="1"/>
    <row r="159" s="92" customFormat="1"/>
    <row r="160" s="92" customFormat="1"/>
    <row r="161" s="92" customFormat="1"/>
    <row r="162" s="92" customFormat="1"/>
    <row r="163" s="92" customFormat="1"/>
    <row r="164" s="92" customFormat="1"/>
    <row r="165" s="92" customFormat="1"/>
    <row r="166" s="92" customFormat="1"/>
    <row r="167" s="92" customFormat="1"/>
    <row r="168" s="92" customFormat="1"/>
    <row r="169" s="92" customFormat="1"/>
    <row r="170" s="92" customFormat="1"/>
    <row r="171" s="92" customFormat="1"/>
    <row r="172" s="92" customFormat="1"/>
    <row r="173" s="92" customFormat="1"/>
    <row r="174" s="92" customFormat="1"/>
    <row r="175" s="92" customFormat="1"/>
    <row r="176" s="92" customFormat="1"/>
    <row r="177" s="92" customFormat="1"/>
    <row r="178" s="92" customFormat="1"/>
    <row r="179" s="92" customFormat="1"/>
    <row r="180" s="92" customFormat="1"/>
    <row r="181" s="92" customFormat="1"/>
    <row r="182" s="92" customFormat="1"/>
    <row r="183" s="92" customFormat="1"/>
    <row r="184" s="92" customFormat="1"/>
    <row r="185" s="92" customFormat="1"/>
    <row r="186" s="92" customFormat="1"/>
    <row r="187" s="92" customFormat="1"/>
    <row r="188" s="92" customFormat="1"/>
    <row r="189" s="92" customFormat="1"/>
    <row r="190" s="92" customFormat="1"/>
    <row r="191" s="92" customFormat="1"/>
    <row r="192" s="92" customFormat="1"/>
    <row r="193" s="92" customFormat="1"/>
    <row r="194" s="92" customFormat="1"/>
    <row r="195" s="92" customFormat="1"/>
    <row r="196" s="92" customFormat="1"/>
    <row r="197" s="92" customFormat="1"/>
    <row r="198" s="92" customFormat="1"/>
    <row r="199" s="92" customFormat="1"/>
    <row r="200" s="92" customFormat="1"/>
    <row r="201" s="92" customFormat="1"/>
    <row r="202" s="92" customFormat="1"/>
    <row r="203" s="92" customFormat="1"/>
    <row r="204" s="92" customFormat="1"/>
    <row r="205" s="92" customFormat="1"/>
    <row r="206" s="92" customFormat="1"/>
    <row r="207" s="92" customFormat="1"/>
    <row r="208" s="92" customFormat="1"/>
    <row r="209" s="92" customFormat="1"/>
    <row r="210" s="92" customFormat="1"/>
    <row r="211" s="92" customFormat="1"/>
    <row r="212" s="92" customFormat="1"/>
    <row r="213" s="92" customFormat="1"/>
    <row r="214" s="92" customFormat="1"/>
    <row r="215" s="92" customFormat="1"/>
    <row r="216" s="92" customFormat="1"/>
    <row r="217" s="92" customFormat="1"/>
    <row r="218" s="92" customFormat="1"/>
    <row r="219" s="92" customFormat="1"/>
    <row r="220" s="92" customFormat="1"/>
    <row r="221" s="92" customFormat="1"/>
    <row r="222" s="92" customFormat="1"/>
    <row r="223" s="92" customFormat="1"/>
    <row r="224" s="92" customFormat="1"/>
    <row r="225" s="92" customFormat="1"/>
    <row r="226" s="92" customFormat="1"/>
    <row r="227" s="92" customFormat="1"/>
    <row r="228" s="92" customFormat="1"/>
    <row r="229" s="92" customFormat="1"/>
    <row r="230" s="92" customFormat="1"/>
    <row r="231" s="92" customFormat="1"/>
    <row r="232" s="92" customFormat="1"/>
    <row r="233" s="92" customFormat="1"/>
    <row r="234" s="92" customFormat="1"/>
    <row r="235" s="92" customFormat="1"/>
    <row r="236" s="92" customFormat="1"/>
    <row r="237" s="92" customFormat="1"/>
    <row r="238" s="92" customFormat="1"/>
    <row r="239" s="92" customFormat="1"/>
    <row r="240" s="92" customFormat="1"/>
    <row r="241" s="92" customFormat="1"/>
    <row r="242" s="92" customFormat="1"/>
    <row r="243" s="92" customFormat="1"/>
    <row r="244" s="92" customFormat="1"/>
    <row r="245" s="92" customFormat="1"/>
    <row r="246" s="92" customFormat="1"/>
    <row r="247" s="92" customFormat="1"/>
    <row r="248" s="92" customFormat="1"/>
    <row r="249" s="92" customFormat="1"/>
    <row r="250" s="92" customFormat="1"/>
    <row r="251" s="92" customFormat="1"/>
    <row r="252" s="92" customFormat="1"/>
    <row r="253" s="92" customFormat="1"/>
    <row r="254" s="92" customFormat="1"/>
    <row r="255" s="92" customFormat="1"/>
    <row r="256" s="92" customFormat="1"/>
    <row r="257" s="92" customFormat="1"/>
    <row r="258" s="92" customFormat="1"/>
    <row r="259" s="92" customFormat="1"/>
    <row r="260" s="92" customFormat="1"/>
    <row r="261" s="92" customFormat="1"/>
    <row r="262" s="92" customFormat="1"/>
    <row r="263" s="92" customFormat="1"/>
    <row r="264" s="92" customFormat="1"/>
    <row r="265" s="92" customFormat="1"/>
    <row r="266" s="92" customFormat="1"/>
    <row r="267" s="92" customFormat="1"/>
    <row r="268" s="92" customFormat="1"/>
    <row r="269" s="92" customFormat="1"/>
    <row r="270" s="92" customFormat="1"/>
    <row r="271" s="92" customFormat="1"/>
    <row r="272" s="92" customFormat="1"/>
    <row r="273" s="92" customFormat="1"/>
    <row r="274" s="92" customFormat="1"/>
    <row r="275" s="92" customFormat="1"/>
    <row r="276" s="92" customFormat="1"/>
    <row r="277" s="92" customFormat="1"/>
    <row r="278" s="92" customFormat="1"/>
    <row r="279" s="92" customFormat="1"/>
    <row r="280" s="92" customFormat="1"/>
    <row r="281" s="92" customFormat="1"/>
    <row r="282" s="92" customFormat="1"/>
    <row r="283" s="92" customFormat="1"/>
    <row r="284" s="92" customFormat="1"/>
    <row r="285" s="92" customFormat="1"/>
    <row r="286" s="92" customFormat="1"/>
    <row r="287" s="92" customFormat="1"/>
    <row r="288" s="92" customFormat="1"/>
    <row r="289" s="92" customFormat="1"/>
    <row r="290" s="92" customFormat="1"/>
    <row r="291" s="92" customFormat="1"/>
    <row r="292" s="92" customFormat="1"/>
    <row r="293" s="92" customFormat="1"/>
    <row r="294" s="92" customFormat="1"/>
    <row r="295" s="92" customFormat="1"/>
    <row r="296" s="92" customFormat="1"/>
    <row r="297" s="92" customFormat="1"/>
    <row r="298" s="92" customFormat="1"/>
    <row r="299" s="92" customFormat="1"/>
    <row r="300" s="92" customFormat="1"/>
    <row r="301" s="92" customFormat="1"/>
    <row r="302" s="92" customFormat="1"/>
    <row r="303" s="92" customFormat="1"/>
    <row r="304" s="92" customFormat="1"/>
    <row r="305" s="92" customFormat="1"/>
    <row r="306" s="92" customFormat="1"/>
    <row r="307" s="92" customFormat="1"/>
    <row r="308" s="92" customFormat="1"/>
    <row r="309" s="92" customFormat="1"/>
    <row r="310" s="92" customFormat="1"/>
    <row r="311" s="92" customFormat="1"/>
    <row r="312" s="92" customFormat="1"/>
    <row r="313" s="92" customFormat="1"/>
    <row r="314" s="92" customFormat="1"/>
    <row r="315" s="92" customFormat="1"/>
    <row r="316" s="92" customFormat="1"/>
    <row r="317" s="92" customFormat="1"/>
    <row r="318" s="92" customFormat="1"/>
  </sheetData>
  <mergeCells count="48">
    <mergeCell ref="A1:M1"/>
    <mergeCell ref="Q1:Y1"/>
    <mergeCell ref="A2:M2"/>
    <mergeCell ref="Q2:Y2"/>
    <mergeCell ref="A3:Y3"/>
    <mergeCell ref="A4:Y4"/>
    <mergeCell ref="A5:Y5"/>
    <mergeCell ref="H6:P6"/>
    <mergeCell ref="Q6:X6"/>
    <mergeCell ref="I7:P7"/>
    <mergeCell ref="R7:X7"/>
    <mergeCell ref="J8:P8"/>
    <mergeCell ref="R8:U8"/>
    <mergeCell ref="V8:X8"/>
    <mergeCell ref="S9:U9"/>
    <mergeCell ref="W9:X9"/>
    <mergeCell ref="K11:L11"/>
    <mergeCell ref="N11:P11"/>
    <mergeCell ref="O12:P12"/>
    <mergeCell ref="B27:Y27"/>
    <mergeCell ref="B28:Y28"/>
    <mergeCell ref="Q7:Q13"/>
    <mergeCell ref="R9:R13"/>
    <mergeCell ref="S10:S13"/>
    <mergeCell ref="T10:T13"/>
    <mergeCell ref="U10:U13"/>
    <mergeCell ref="V9:V13"/>
    <mergeCell ref="W10:W13"/>
    <mergeCell ref="X10:X13"/>
    <mergeCell ref="Y6:Y13"/>
    <mergeCell ref="M9:P10"/>
    <mergeCell ref="J9:L10"/>
    <mergeCell ref="B29:Y29"/>
    <mergeCell ref="B30:Y30"/>
    <mergeCell ref="A6:A13"/>
    <mergeCell ref="B6:B13"/>
    <mergeCell ref="C6:C13"/>
    <mergeCell ref="D6:D13"/>
    <mergeCell ref="E6:E13"/>
    <mergeCell ref="F6:F13"/>
    <mergeCell ref="G6:G13"/>
    <mergeCell ref="H7:H13"/>
    <mergeCell ref="I8:I13"/>
    <mergeCell ref="J11:J13"/>
    <mergeCell ref="K12:K13"/>
    <mergeCell ref="L12:L13"/>
    <mergeCell ref="M11:M13"/>
    <mergeCell ref="N12:N13"/>
  </mergeCells>
  <printOptions horizontalCentered="1"/>
  <pageMargins left="0.23622047244094499" right="0.23622047244094499" top="0.74803149606299202" bottom="0.74803149606299202" header="0.31496062992126" footer="0.31496062992126"/>
  <pageSetup paperSize="9" scale="50" fitToWidth="0" fitToHeight="0" orientation="landscape"/>
  <headerFooter alignWithMargins="0">
    <oddFooter>&amp;R&amp;14&amp;P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18"/>
  <sheetViews>
    <sheetView zoomScale="85" zoomScaleNormal="85" zoomScaleSheetLayoutView="70" zoomScalePageLayoutView="60" workbookViewId="0">
      <selection sqref="A1:L1"/>
    </sheetView>
  </sheetViews>
  <sheetFormatPr defaultColWidth="8.7109375" defaultRowHeight="18.75"/>
  <cols>
    <col min="1" max="1" width="5.140625" style="132" customWidth="1"/>
    <col min="2" max="2" width="33.28515625" style="133" customWidth="1"/>
    <col min="3" max="5" width="9.85546875" style="134" customWidth="1"/>
    <col min="6" max="9" width="9.85546875" style="26" customWidth="1"/>
    <col min="10" max="10" width="11.7109375" style="26" customWidth="1"/>
    <col min="11" max="13" width="11.28515625" style="26" customWidth="1"/>
    <col min="14" max="23" width="9.5703125" style="26" customWidth="1"/>
    <col min="24" max="226" width="8.7109375" style="92"/>
    <col min="227" max="227" width="5.140625" style="92" customWidth="1"/>
    <col min="228" max="228" width="24" style="92" customWidth="1"/>
    <col min="229" max="229" width="7.7109375" style="92" customWidth="1"/>
    <col min="230" max="230" width="8.7109375" style="92" customWidth="1"/>
    <col min="231" max="231" width="8.42578125" style="92" customWidth="1"/>
    <col min="232" max="232" width="9.42578125" style="92" customWidth="1"/>
    <col min="233" max="233" width="10.140625" style="92" customWidth="1"/>
    <col min="234" max="234" width="7.7109375" style="92" customWidth="1"/>
    <col min="235" max="236" width="9.42578125" style="92" customWidth="1"/>
    <col min="237" max="238" width="9.7109375" style="92" customWidth="1"/>
    <col min="239" max="239" width="8.7109375" style="92" customWidth="1"/>
    <col min="240" max="240" width="9.42578125" style="92" customWidth="1"/>
    <col min="241" max="241" width="6.7109375" style="92" customWidth="1"/>
    <col min="242" max="242" width="8.140625" style="92" customWidth="1"/>
    <col min="243" max="243" width="10.42578125" style="92" customWidth="1"/>
    <col min="244" max="244" width="8.42578125" style="92" customWidth="1"/>
    <col min="245" max="245" width="9.7109375" style="92" customWidth="1"/>
    <col min="246" max="246" width="9.42578125" style="92" customWidth="1"/>
    <col min="247" max="247" width="7.42578125" style="92" customWidth="1"/>
    <col min="248" max="248" width="8.42578125" style="92" customWidth="1"/>
    <col min="249" max="250" width="8.28515625" style="92" customWidth="1"/>
    <col min="251" max="251" width="11.42578125" style="92" customWidth="1"/>
    <col min="252" max="252" width="10.42578125" style="92" customWidth="1"/>
    <col min="253" max="253" width="9.7109375" style="92" customWidth="1"/>
    <col min="254" max="254" width="9.140625" style="92" customWidth="1"/>
    <col min="255" max="255" width="9.42578125" style="92" customWidth="1"/>
    <col min="256" max="256" width="7.42578125" style="92" customWidth="1"/>
    <col min="257" max="257" width="8.42578125" style="92" customWidth="1"/>
    <col min="258" max="258" width="8.28515625" style="92" customWidth="1"/>
    <col min="259" max="259" width="11.42578125" style="92" customWidth="1"/>
    <col min="260" max="272" width="8" style="92" customWidth="1"/>
    <col min="273" max="273" width="9.42578125" style="92" customWidth="1"/>
    <col min="274" max="274" width="6.7109375" style="92" customWidth="1"/>
    <col min="275" max="277" width="8.28515625" style="92" customWidth="1"/>
    <col min="278" max="278" width="8.7109375" style="92" customWidth="1"/>
    <col min="279" max="279" width="6.7109375" style="92" customWidth="1"/>
    <col min="280" max="482" width="8.7109375" style="92"/>
    <col min="483" max="483" width="5.140625" style="92" customWidth="1"/>
    <col min="484" max="484" width="24" style="92" customWidth="1"/>
    <col min="485" max="485" width="7.7109375" style="92" customWidth="1"/>
    <col min="486" max="486" width="8.7109375" style="92" customWidth="1"/>
    <col min="487" max="487" width="8.42578125" style="92" customWidth="1"/>
    <col min="488" max="488" width="9.42578125" style="92" customWidth="1"/>
    <col min="489" max="489" width="10.140625" style="92" customWidth="1"/>
    <col min="490" max="490" width="7.7109375" style="92" customWidth="1"/>
    <col min="491" max="492" width="9.42578125" style="92" customWidth="1"/>
    <col min="493" max="494" width="9.7109375" style="92" customWidth="1"/>
    <col min="495" max="495" width="8.7109375" style="92" customWidth="1"/>
    <col min="496" max="496" width="9.42578125" style="92" customWidth="1"/>
    <col min="497" max="497" width="6.7109375" style="92" customWidth="1"/>
    <col min="498" max="498" width="8.140625" style="92" customWidth="1"/>
    <col min="499" max="499" width="10.42578125" style="92" customWidth="1"/>
    <col min="500" max="500" width="8.42578125" style="92" customWidth="1"/>
    <col min="501" max="501" width="9.7109375" style="92" customWidth="1"/>
    <col min="502" max="502" width="9.42578125" style="92" customWidth="1"/>
    <col min="503" max="503" width="7.42578125" style="92" customWidth="1"/>
    <col min="504" max="504" width="8.42578125" style="92" customWidth="1"/>
    <col min="505" max="506" width="8.28515625" style="92" customWidth="1"/>
    <col min="507" max="507" width="11.42578125" style="92" customWidth="1"/>
    <col min="508" max="508" width="10.42578125" style="92" customWidth="1"/>
    <col min="509" max="509" width="9.7109375" style="92" customWidth="1"/>
    <col min="510" max="510" width="9.140625" style="92" customWidth="1"/>
    <col min="511" max="511" width="9.42578125" style="92" customWidth="1"/>
    <col min="512" max="512" width="7.42578125" style="92" customWidth="1"/>
    <col min="513" max="513" width="8.42578125" style="92" customWidth="1"/>
    <col min="514" max="514" width="8.28515625" style="92" customWidth="1"/>
    <col min="515" max="515" width="11.42578125" style="92" customWidth="1"/>
    <col min="516" max="528" width="8" style="92" customWidth="1"/>
    <col min="529" max="529" width="9.42578125" style="92" customWidth="1"/>
    <col min="530" max="530" width="6.7109375" style="92" customWidth="1"/>
    <col min="531" max="533" width="8.28515625" style="92" customWidth="1"/>
    <col min="534" max="534" width="8.7109375" style="92" customWidth="1"/>
    <col min="535" max="535" width="6.7109375" style="92" customWidth="1"/>
    <col min="536" max="738" width="8.7109375" style="92"/>
    <col min="739" max="739" width="5.140625" style="92" customWidth="1"/>
    <col min="740" max="740" width="24" style="92" customWidth="1"/>
    <col min="741" max="741" width="7.7109375" style="92" customWidth="1"/>
    <col min="742" max="742" width="8.7109375" style="92" customWidth="1"/>
    <col min="743" max="743" width="8.42578125" style="92" customWidth="1"/>
    <col min="744" max="744" width="9.42578125" style="92" customWidth="1"/>
    <col min="745" max="745" width="10.140625" style="92" customWidth="1"/>
    <col min="746" max="746" width="7.7109375" style="92" customWidth="1"/>
    <col min="747" max="748" width="9.42578125" style="92" customWidth="1"/>
    <col min="749" max="750" width="9.7109375" style="92" customWidth="1"/>
    <col min="751" max="751" width="8.7109375" style="92" customWidth="1"/>
    <col min="752" max="752" width="9.42578125" style="92" customWidth="1"/>
    <col min="753" max="753" width="6.7109375" style="92" customWidth="1"/>
    <col min="754" max="754" width="8.140625" style="92" customWidth="1"/>
    <col min="755" max="755" width="10.42578125" style="92" customWidth="1"/>
    <col min="756" max="756" width="8.42578125" style="92" customWidth="1"/>
    <col min="757" max="757" width="9.7109375" style="92" customWidth="1"/>
    <col min="758" max="758" width="9.42578125" style="92" customWidth="1"/>
    <col min="759" max="759" width="7.42578125" style="92" customWidth="1"/>
    <col min="760" max="760" width="8.42578125" style="92" customWidth="1"/>
    <col min="761" max="762" width="8.28515625" style="92" customWidth="1"/>
    <col min="763" max="763" width="11.42578125" style="92" customWidth="1"/>
    <col min="764" max="764" width="10.42578125" style="92" customWidth="1"/>
    <col min="765" max="765" width="9.7109375" style="92" customWidth="1"/>
    <col min="766" max="766" width="9.140625" style="92" customWidth="1"/>
    <col min="767" max="767" width="9.42578125" style="92" customWidth="1"/>
    <col min="768" max="768" width="7.42578125" style="92" customWidth="1"/>
    <col min="769" max="769" width="8.42578125" style="92" customWidth="1"/>
    <col min="770" max="770" width="8.28515625" style="92" customWidth="1"/>
    <col min="771" max="771" width="11.42578125" style="92" customWidth="1"/>
    <col min="772" max="784" width="8" style="92" customWidth="1"/>
    <col min="785" max="785" width="9.42578125" style="92" customWidth="1"/>
    <col min="786" max="786" width="6.7109375" style="92" customWidth="1"/>
    <col min="787" max="789" width="8.28515625" style="92" customWidth="1"/>
    <col min="790" max="790" width="8.7109375" style="92" customWidth="1"/>
    <col min="791" max="791" width="6.7109375" style="92" customWidth="1"/>
    <col min="792" max="994" width="8.7109375" style="92"/>
    <col min="995" max="995" width="5.140625" style="92" customWidth="1"/>
    <col min="996" max="996" width="24" style="92" customWidth="1"/>
    <col min="997" max="997" width="7.7109375" style="92" customWidth="1"/>
    <col min="998" max="998" width="8.7109375" style="92" customWidth="1"/>
    <col min="999" max="999" width="8.42578125" style="92" customWidth="1"/>
    <col min="1000" max="1000" width="9.42578125" style="92" customWidth="1"/>
    <col min="1001" max="1001" width="10.140625" style="92" customWidth="1"/>
    <col min="1002" max="1002" width="7.7109375" style="92" customWidth="1"/>
    <col min="1003" max="1004" width="9.42578125" style="92" customWidth="1"/>
    <col min="1005" max="1006" width="9.7109375" style="92" customWidth="1"/>
    <col min="1007" max="1007" width="8.7109375" style="92" customWidth="1"/>
    <col min="1008" max="1008" width="9.42578125" style="92" customWidth="1"/>
    <col min="1009" max="1009" width="6.7109375" style="92" customWidth="1"/>
    <col min="1010" max="1010" width="8.140625" style="92" customWidth="1"/>
    <col min="1011" max="1011" width="10.42578125" style="92" customWidth="1"/>
    <col min="1012" max="1012" width="8.42578125" style="92" customWidth="1"/>
    <col min="1013" max="1013" width="9.7109375" style="92" customWidth="1"/>
    <col min="1014" max="1014" width="9.42578125" style="92" customWidth="1"/>
    <col min="1015" max="1015" width="7.42578125" style="92" customWidth="1"/>
    <col min="1016" max="1016" width="8.42578125" style="92" customWidth="1"/>
    <col min="1017" max="1018" width="8.28515625" style="92" customWidth="1"/>
    <col min="1019" max="1019" width="11.42578125" style="92" customWidth="1"/>
    <col min="1020" max="1020" width="10.42578125" style="92" customWidth="1"/>
    <col min="1021" max="1021" width="9.7109375" style="92" customWidth="1"/>
    <col min="1022" max="1022" width="9.140625" style="92" customWidth="1"/>
    <col min="1023" max="1023" width="9.42578125" style="92" customWidth="1"/>
    <col min="1024" max="1024" width="7.42578125" style="92" customWidth="1"/>
    <col min="1025" max="1025" width="8.42578125" style="92" customWidth="1"/>
    <col min="1026" max="1026" width="8.28515625" style="92" customWidth="1"/>
    <col min="1027" max="1027" width="11.42578125" style="92" customWidth="1"/>
    <col min="1028" max="1040" width="8" style="92" customWidth="1"/>
    <col min="1041" max="1041" width="9.42578125" style="92" customWidth="1"/>
    <col min="1042" max="1042" width="6.7109375" style="92" customWidth="1"/>
    <col min="1043" max="1045" width="8.28515625" style="92" customWidth="1"/>
    <col min="1046" max="1046" width="8.7109375" style="92" customWidth="1"/>
    <col min="1047" max="1047" width="6.7109375" style="92" customWidth="1"/>
    <col min="1048" max="1250" width="8.7109375" style="92"/>
    <col min="1251" max="1251" width="5.140625" style="92" customWidth="1"/>
    <col min="1252" max="1252" width="24" style="92" customWidth="1"/>
    <col min="1253" max="1253" width="7.7109375" style="92" customWidth="1"/>
    <col min="1254" max="1254" width="8.7109375" style="92" customWidth="1"/>
    <col min="1255" max="1255" width="8.42578125" style="92" customWidth="1"/>
    <col min="1256" max="1256" width="9.42578125" style="92" customWidth="1"/>
    <col min="1257" max="1257" width="10.140625" style="92" customWidth="1"/>
    <col min="1258" max="1258" width="7.7109375" style="92" customWidth="1"/>
    <col min="1259" max="1260" width="9.42578125" style="92" customWidth="1"/>
    <col min="1261" max="1262" width="9.7109375" style="92" customWidth="1"/>
    <col min="1263" max="1263" width="8.7109375" style="92" customWidth="1"/>
    <col min="1264" max="1264" width="9.42578125" style="92" customWidth="1"/>
    <col min="1265" max="1265" width="6.7109375" style="92" customWidth="1"/>
    <col min="1266" max="1266" width="8.140625" style="92" customWidth="1"/>
    <col min="1267" max="1267" width="10.42578125" style="92" customWidth="1"/>
    <col min="1268" max="1268" width="8.42578125" style="92" customWidth="1"/>
    <col min="1269" max="1269" width="9.7109375" style="92" customWidth="1"/>
    <col min="1270" max="1270" width="9.42578125" style="92" customWidth="1"/>
    <col min="1271" max="1271" width="7.42578125" style="92" customWidth="1"/>
    <col min="1272" max="1272" width="8.42578125" style="92" customWidth="1"/>
    <col min="1273" max="1274" width="8.28515625" style="92" customWidth="1"/>
    <col min="1275" max="1275" width="11.42578125" style="92" customWidth="1"/>
    <col min="1276" max="1276" width="10.42578125" style="92" customWidth="1"/>
    <col min="1277" max="1277" width="9.7109375" style="92" customWidth="1"/>
    <col min="1278" max="1278" width="9.140625" style="92" customWidth="1"/>
    <col min="1279" max="1279" width="9.42578125" style="92" customWidth="1"/>
    <col min="1280" max="1280" width="7.42578125" style="92" customWidth="1"/>
    <col min="1281" max="1281" width="8.42578125" style="92" customWidth="1"/>
    <col min="1282" max="1282" width="8.28515625" style="92" customWidth="1"/>
    <col min="1283" max="1283" width="11.42578125" style="92" customWidth="1"/>
    <col min="1284" max="1296" width="8" style="92" customWidth="1"/>
    <col min="1297" max="1297" width="9.42578125" style="92" customWidth="1"/>
    <col min="1298" max="1298" width="6.7109375" style="92" customWidth="1"/>
    <col min="1299" max="1301" width="8.28515625" style="92" customWidth="1"/>
    <col min="1302" max="1302" width="8.7109375" style="92" customWidth="1"/>
    <col min="1303" max="1303" width="6.7109375" style="92" customWidth="1"/>
    <col min="1304" max="1506" width="8.7109375" style="92"/>
    <col min="1507" max="1507" width="5.140625" style="92" customWidth="1"/>
    <col min="1508" max="1508" width="24" style="92" customWidth="1"/>
    <col min="1509" max="1509" width="7.7109375" style="92" customWidth="1"/>
    <col min="1510" max="1510" width="8.7109375" style="92" customWidth="1"/>
    <col min="1511" max="1511" width="8.42578125" style="92" customWidth="1"/>
    <col min="1512" max="1512" width="9.42578125" style="92" customWidth="1"/>
    <col min="1513" max="1513" width="10.140625" style="92" customWidth="1"/>
    <col min="1514" max="1514" width="7.7109375" style="92" customWidth="1"/>
    <col min="1515" max="1516" width="9.42578125" style="92" customWidth="1"/>
    <col min="1517" max="1518" width="9.7109375" style="92" customWidth="1"/>
    <col min="1519" max="1519" width="8.7109375" style="92" customWidth="1"/>
    <col min="1520" max="1520" width="9.42578125" style="92" customWidth="1"/>
    <col min="1521" max="1521" width="6.7109375" style="92" customWidth="1"/>
    <col min="1522" max="1522" width="8.140625" style="92" customWidth="1"/>
    <col min="1523" max="1523" width="10.42578125" style="92" customWidth="1"/>
    <col min="1524" max="1524" width="8.42578125" style="92" customWidth="1"/>
    <col min="1525" max="1525" width="9.7109375" style="92" customWidth="1"/>
    <col min="1526" max="1526" width="9.42578125" style="92" customWidth="1"/>
    <col min="1527" max="1527" width="7.42578125" style="92" customWidth="1"/>
    <col min="1528" max="1528" width="8.42578125" style="92" customWidth="1"/>
    <col min="1529" max="1530" width="8.28515625" style="92" customWidth="1"/>
    <col min="1531" max="1531" width="11.42578125" style="92" customWidth="1"/>
    <col min="1532" max="1532" width="10.42578125" style="92" customWidth="1"/>
    <col min="1533" max="1533" width="9.7109375" style="92" customWidth="1"/>
    <col min="1534" max="1534" width="9.140625" style="92" customWidth="1"/>
    <col min="1535" max="1535" width="9.42578125" style="92" customWidth="1"/>
    <col min="1536" max="1536" width="7.42578125" style="92" customWidth="1"/>
    <col min="1537" max="1537" width="8.42578125" style="92" customWidth="1"/>
    <col min="1538" max="1538" width="8.28515625" style="92" customWidth="1"/>
    <col min="1539" max="1539" width="11.42578125" style="92" customWidth="1"/>
    <col min="1540" max="1552" width="8" style="92" customWidth="1"/>
    <col min="1553" max="1553" width="9.42578125" style="92" customWidth="1"/>
    <col min="1554" max="1554" width="6.7109375" style="92" customWidth="1"/>
    <col min="1555" max="1557" width="8.28515625" style="92" customWidth="1"/>
    <col min="1558" max="1558" width="8.7109375" style="92" customWidth="1"/>
    <col min="1559" max="1559" width="6.7109375" style="92" customWidth="1"/>
    <col min="1560" max="1762" width="8.7109375" style="92"/>
    <col min="1763" max="1763" width="5.140625" style="92" customWidth="1"/>
    <col min="1764" max="1764" width="24" style="92" customWidth="1"/>
    <col min="1765" max="1765" width="7.7109375" style="92" customWidth="1"/>
    <col min="1766" max="1766" width="8.7109375" style="92" customWidth="1"/>
    <col min="1767" max="1767" width="8.42578125" style="92" customWidth="1"/>
    <col min="1768" max="1768" width="9.42578125" style="92" customWidth="1"/>
    <col min="1769" max="1769" width="10.140625" style="92" customWidth="1"/>
    <col min="1770" max="1770" width="7.7109375" style="92" customWidth="1"/>
    <col min="1771" max="1772" width="9.42578125" style="92" customWidth="1"/>
    <col min="1773" max="1774" width="9.7109375" style="92" customWidth="1"/>
    <col min="1775" max="1775" width="8.7109375" style="92" customWidth="1"/>
    <col min="1776" max="1776" width="9.42578125" style="92" customWidth="1"/>
    <col min="1777" max="1777" width="6.7109375" style="92" customWidth="1"/>
    <col min="1778" max="1778" width="8.140625" style="92" customWidth="1"/>
    <col min="1779" max="1779" width="10.42578125" style="92" customWidth="1"/>
    <col min="1780" max="1780" width="8.42578125" style="92" customWidth="1"/>
    <col min="1781" max="1781" width="9.7109375" style="92" customWidth="1"/>
    <col min="1782" max="1782" width="9.42578125" style="92" customWidth="1"/>
    <col min="1783" max="1783" width="7.42578125" style="92" customWidth="1"/>
    <col min="1784" max="1784" width="8.42578125" style="92" customWidth="1"/>
    <col min="1785" max="1786" width="8.28515625" style="92" customWidth="1"/>
    <col min="1787" max="1787" width="11.42578125" style="92" customWidth="1"/>
    <col min="1788" max="1788" width="10.42578125" style="92" customWidth="1"/>
    <col min="1789" max="1789" width="9.7109375" style="92" customWidth="1"/>
    <col min="1790" max="1790" width="9.140625" style="92" customWidth="1"/>
    <col min="1791" max="1791" width="9.42578125" style="92" customWidth="1"/>
    <col min="1792" max="1792" width="7.42578125" style="92" customWidth="1"/>
    <col min="1793" max="1793" width="8.42578125" style="92" customWidth="1"/>
    <col min="1794" max="1794" width="8.28515625" style="92" customWidth="1"/>
    <col min="1795" max="1795" width="11.42578125" style="92" customWidth="1"/>
    <col min="1796" max="1808" width="8" style="92" customWidth="1"/>
    <col min="1809" max="1809" width="9.42578125" style="92" customWidth="1"/>
    <col min="1810" max="1810" width="6.7109375" style="92" customWidth="1"/>
    <col min="1811" max="1813" width="8.28515625" style="92" customWidth="1"/>
    <col min="1814" max="1814" width="8.7109375" style="92" customWidth="1"/>
    <col min="1815" max="1815" width="6.7109375" style="92" customWidth="1"/>
    <col min="1816" max="2018" width="8.7109375" style="92"/>
    <col min="2019" max="2019" width="5.140625" style="92" customWidth="1"/>
    <col min="2020" max="2020" width="24" style="92" customWidth="1"/>
    <col min="2021" max="2021" width="7.7109375" style="92" customWidth="1"/>
    <col min="2022" max="2022" width="8.7109375" style="92" customWidth="1"/>
    <col min="2023" max="2023" width="8.42578125" style="92" customWidth="1"/>
    <col min="2024" max="2024" width="9.42578125" style="92" customWidth="1"/>
    <col min="2025" max="2025" width="10.140625" style="92" customWidth="1"/>
    <col min="2026" max="2026" width="7.7109375" style="92" customWidth="1"/>
    <col min="2027" max="2028" width="9.42578125" style="92" customWidth="1"/>
    <col min="2029" max="2030" width="9.7109375" style="92" customWidth="1"/>
    <col min="2031" max="2031" width="8.7109375" style="92" customWidth="1"/>
    <col min="2032" max="2032" width="9.42578125" style="92" customWidth="1"/>
    <col min="2033" max="2033" width="6.7109375" style="92" customWidth="1"/>
    <col min="2034" max="2034" width="8.140625" style="92" customWidth="1"/>
    <col min="2035" max="2035" width="10.42578125" style="92" customWidth="1"/>
    <col min="2036" max="2036" width="8.42578125" style="92" customWidth="1"/>
    <col min="2037" max="2037" width="9.7109375" style="92" customWidth="1"/>
    <col min="2038" max="2038" width="9.42578125" style="92" customWidth="1"/>
    <col min="2039" max="2039" width="7.42578125" style="92" customWidth="1"/>
    <col min="2040" max="2040" width="8.42578125" style="92" customWidth="1"/>
    <col min="2041" max="2042" width="8.28515625" style="92" customWidth="1"/>
    <col min="2043" max="2043" width="11.42578125" style="92" customWidth="1"/>
    <col min="2044" max="2044" width="10.42578125" style="92" customWidth="1"/>
    <col min="2045" max="2045" width="9.7109375" style="92" customWidth="1"/>
    <col min="2046" max="2046" width="9.140625" style="92" customWidth="1"/>
    <col min="2047" max="2047" width="9.42578125" style="92" customWidth="1"/>
    <col min="2048" max="2048" width="7.42578125" style="92" customWidth="1"/>
    <col min="2049" max="2049" width="8.42578125" style="92" customWidth="1"/>
    <col min="2050" max="2050" width="8.28515625" style="92" customWidth="1"/>
    <col min="2051" max="2051" width="11.42578125" style="92" customWidth="1"/>
    <col min="2052" max="2064" width="8" style="92" customWidth="1"/>
    <col min="2065" max="2065" width="9.42578125" style="92" customWidth="1"/>
    <col min="2066" max="2066" width="6.7109375" style="92" customWidth="1"/>
    <col min="2067" max="2069" width="8.28515625" style="92" customWidth="1"/>
    <col min="2070" max="2070" width="8.7109375" style="92" customWidth="1"/>
    <col min="2071" max="2071" width="6.7109375" style="92" customWidth="1"/>
    <col min="2072" max="2274" width="8.7109375" style="92"/>
    <col min="2275" max="2275" width="5.140625" style="92" customWidth="1"/>
    <col min="2276" max="2276" width="24" style="92" customWidth="1"/>
    <col min="2277" max="2277" width="7.7109375" style="92" customWidth="1"/>
    <col min="2278" max="2278" width="8.7109375" style="92" customWidth="1"/>
    <col min="2279" max="2279" width="8.42578125" style="92" customWidth="1"/>
    <col min="2280" max="2280" width="9.42578125" style="92" customWidth="1"/>
    <col min="2281" max="2281" width="10.140625" style="92" customWidth="1"/>
    <col min="2282" max="2282" width="7.7109375" style="92" customWidth="1"/>
    <col min="2283" max="2284" width="9.42578125" style="92" customWidth="1"/>
    <col min="2285" max="2286" width="9.7109375" style="92" customWidth="1"/>
    <col min="2287" max="2287" width="8.7109375" style="92" customWidth="1"/>
    <col min="2288" max="2288" width="9.42578125" style="92" customWidth="1"/>
    <col min="2289" max="2289" width="6.7109375" style="92" customWidth="1"/>
    <col min="2290" max="2290" width="8.140625" style="92" customWidth="1"/>
    <col min="2291" max="2291" width="10.42578125" style="92" customWidth="1"/>
    <col min="2292" max="2292" width="8.42578125" style="92" customWidth="1"/>
    <col min="2293" max="2293" width="9.7109375" style="92" customWidth="1"/>
    <col min="2294" max="2294" width="9.42578125" style="92" customWidth="1"/>
    <col min="2295" max="2295" width="7.42578125" style="92" customWidth="1"/>
    <col min="2296" max="2296" width="8.42578125" style="92" customWidth="1"/>
    <col min="2297" max="2298" width="8.28515625" style="92" customWidth="1"/>
    <col min="2299" max="2299" width="11.42578125" style="92" customWidth="1"/>
    <col min="2300" max="2300" width="10.42578125" style="92" customWidth="1"/>
    <col min="2301" max="2301" width="9.7109375" style="92" customWidth="1"/>
    <col min="2302" max="2302" width="9.140625" style="92" customWidth="1"/>
    <col min="2303" max="2303" width="9.42578125" style="92" customWidth="1"/>
    <col min="2304" max="2304" width="7.42578125" style="92" customWidth="1"/>
    <col min="2305" max="2305" width="8.42578125" style="92" customWidth="1"/>
    <col min="2306" max="2306" width="8.28515625" style="92" customWidth="1"/>
    <col min="2307" max="2307" width="11.42578125" style="92" customWidth="1"/>
    <col min="2308" max="2320" width="8" style="92" customWidth="1"/>
    <col min="2321" max="2321" width="9.42578125" style="92" customWidth="1"/>
    <col min="2322" max="2322" width="6.7109375" style="92" customWidth="1"/>
    <col min="2323" max="2325" width="8.28515625" style="92" customWidth="1"/>
    <col min="2326" max="2326" width="8.7109375" style="92" customWidth="1"/>
    <col min="2327" max="2327" width="6.7109375" style="92" customWidth="1"/>
    <col min="2328" max="2530" width="8.7109375" style="92"/>
    <col min="2531" max="2531" width="5.140625" style="92" customWidth="1"/>
    <col min="2532" max="2532" width="24" style="92" customWidth="1"/>
    <col min="2533" max="2533" width="7.7109375" style="92" customWidth="1"/>
    <col min="2534" max="2534" width="8.7109375" style="92" customWidth="1"/>
    <col min="2535" max="2535" width="8.42578125" style="92" customWidth="1"/>
    <col min="2536" max="2536" width="9.42578125" style="92" customWidth="1"/>
    <col min="2537" max="2537" width="10.140625" style="92" customWidth="1"/>
    <col min="2538" max="2538" width="7.7109375" style="92" customWidth="1"/>
    <col min="2539" max="2540" width="9.42578125" style="92" customWidth="1"/>
    <col min="2541" max="2542" width="9.7109375" style="92" customWidth="1"/>
    <col min="2543" max="2543" width="8.7109375" style="92" customWidth="1"/>
    <col min="2544" max="2544" width="9.42578125" style="92" customWidth="1"/>
    <col min="2545" max="2545" width="6.7109375" style="92" customWidth="1"/>
    <col min="2546" max="2546" width="8.140625" style="92" customWidth="1"/>
    <col min="2547" max="2547" width="10.42578125" style="92" customWidth="1"/>
    <col min="2548" max="2548" width="8.42578125" style="92" customWidth="1"/>
    <col min="2549" max="2549" width="9.7109375" style="92" customWidth="1"/>
    <col min="2550" max="2550" width="9.42578125" style="92" customWidth="1"/>
    <col min="2551" max="2551" width="7.42578125" style="92" customWidth="1"/>
    <col min="2552" max="2552" width="8.42578125" style="92" customWidth="1"/>
    <col min="2553" max="2554" width="8.28515625" style="92" customWidth="1"/>
    <col min="2555" max="2555" width="11.42578125" style="92" customWidth="1"/>
    <col min="2556" max="2556" width="10.42578125" style="92" customWidth="1"/>
    <col min="2557" max="2557" width="9.7109375" style="92" customWidth="1"/>
    <col min="2558" max="2558" width="9.140625" style="92" customWidth="1"/>
    <col min="2559" max="2559" width="9.42578125" style="92" customWidth="1"/>
    <col min="2560" max="2560" width="7.42578125" style="92" customWidth="1"/>
    <col min="2561" max="2561" width="8.42578125" style="92" customWidth="1"/>
    <col min="2562" max="2562" width="8.28515625" style="92" customWidth="1"/>
    <col min="2563" max="2563" width="11.42578125" style="92" customWidth="1"/>
    <col min="2564" max="2576" width="8" style="92" customWidth="1"/>
    <col min="2577" max="2577" width="9.42578125" style="92" customWidth="1"/>
    <col min="2578" max="2578" width="6.7109375" style="92" customWidth="1"/>
    <col min="2579" max="2581" width="8.28515625" style="92" customWidth="1"/>
    <col min="2582" max="2582" width="8.7109375" style="92" customWidth="1"/>
    <col min="2583" max="2583" width="6.7109375" style="92" customWidth="1"/>
    <col min="2584" max="2786" width="8.7109375" style="92"/>
    <col min="2787" max="2787" width="5.140625" style="92" customWidth="1"/>
    <col min="2788" max="2788" width="24" style="92" customWidth="1"/>
    <col min="2789" max="2789" width="7.7109375" style="92" customWidth="1"/>
    <col min="2790" max="2790" width="8.7109375" style="92" customWidth="1"/>
    <col min="2791" max="2791" width="8.42578125" style="92" customWidth="1"/>
    <col min="2792" max="2792" width="9.42578125" style="92" customWidth="1"/>
    <col min="2793" max="2793" width="10.140625" style="92" customWidth="1"/>
    <col min="2794" max="2794" width="7.7109375" style="92" customWidth="1"/>
    <col min="2795" max="2796" width="9.42578125" style="92" customWidth="1"/>
    <col min="2797" max="2798" width="9.7109375" style="92" customWidth="1"/>
    <col min="2799" max="2799" width="8.7109375" style="92" customWidth="1"/>
    <col min="2800" max="2800" width="9.42578125" style="92" customWidth="1"/>
    <col min="2801" max="2801" width="6.7109375" style="92" customWidth="1"/>
    <col min="2802" max="2802" width="8.140625" style="92" customWidth="1"/>
    <col min="2803" max="2803" width="10.42578125" style="92" customWidth="1"/>
    <col min="2804" max="2804" width="8.42578125" style="92" customWidth="1"/>
    <col min="2805" max="2805" width="9.7109375" style="92" customWidth="1"/>
    <col min="2806" max="2806" width="9.42578125" style="92" customWidth="1"/>
    <col min="2807" max="2807" width="7.42578125" style="92" customWidth="1"/>
    <col min="2808" max="2808" width="8.42578125" style="92" customWidth="1"/>
    <col min="2809" max="2810" width="8.28515625" style="92" customWidth="1"/>
    <col min="2811" max="2811" width="11.42578125" style="92" customWidth="1"/>
    <col min="2812" max="2812" width="10.42578125" style="92" customWidth="1"/>
    <col min="2813" max="2813" width="9.7109375" style="92" customWidth="1"/>
    <col min="2814" max="2814" width="9.140625" style="92" customWidth="1"/>
    <col min="2815" max="2815" width="9.42578125" style="92" customWidth="1"/>
    <col min="2816" max="2816" width="7.42578125" style="92" customWidth="1"/>
    <col min="2817" max="2817" width="8.42578125" style="92" customWidth="1"/>
    <col min="2818" max="2818" width="8.28515625" style="92" customWidth="1"/>
    <col min="2819" max="2819" width="11.42578125" style="92" customWidth="1"/>
    <col min="2820" max="2832" width="8" style="92" customWidth="1"/>
    <col min="2833" max="2833" width="9.42578125" style="92" customWidth="1"/>
    <col min="2834" max="2834" width="6.7109375" style="92" customWidth="1"/>
    <col min="2835" max="2837" width="8.28515625" style="92" customWidth="1"/>
    <col min="2838" max="2838" width="8.7109375" style="92" customWidth="1"/>
    <col min="2839" max="2839" width="6.7109375" style="92" customWidth="1"/>
    <col min="2840" max="3042" width="8.7109375" style="92"/>
    <col min="3043" max="3043" width="5.140625" style="92" customWidth="1"/>
    <col min="3044" max="3044" width="24" style="92" customWidth="1"/>
    <col min="3045" max="3045" width="7.7109375" style="92" customWidth="1"/>
    <col min="3046" max="3046" width="8.7109375" style="92" customWidth="1"/>
    <col min="3047" max="3047" width="8.42578125" style="92" customWidth="1"/>
    <col min="3048" max="3048" width="9.42578125" style="92" customWidth="1"/>
    <col min="3049" max="3049" width="10.140625" style="92" customWidth="1"/>
    <col min="3050" max="3050" width="7.7109375" style="92" customWidth="1"/>
    <col min="3051" max="3052" width="9.42578125" style="92" customWidth="1"/>
    <col min="3053" max="3054" width="9.7109375" style="92" customWidth="1"/>
    <col min="3055" max="3055" width="8.7109375" style="92" customWidth="1"/>
    <col min="3056" max="3056" width="9.42578125" style="92" customWidth="1"/>
    <col min="3057" max="3057" width="6.7109375" style="92" customWidth="1"/>
    <col min="3058" max="3058" width="8.140625" style="92" customWidth="1"/>
    <col min="3059" max="3059" width="10.42578125" style="92" customWidth="1"/>
    <col min="3060" max="3060" width="8.42578125" style="92" customWidth="1"/>
    <col min="3061" max="3061" width="9.7109375" style="92" customWidth="1"/>
    <col min="3062" max="3062" width="9.42578125" style="92" customWidth="1"/>
    <col min="3063" max="3063" width="7.42578125" style="92" customWidth="1"/>
    <col min="3064" max="3064" width="8.42578125" style="92" customWidth="1"/>
    <col min="3065" max="3066" width="8.28515625" style="92" customWidth="1"/>
    <col min="3067" max="3067" width="11.42578125" style="92" customWidth="1"/>
    <col min="3068" max="3068" width="10.42578125" style="92" customWidth="1"/>
    <col min="3069" max="3069" width="9.7109375" style="92" customWidth="1"/>
    <col min="3070" max="3070" width="9.140625" style="92" customWidth="1"/>
    <col min="3071" max="3071" width="9.42578125" style="92" customWidth="1"/>
    <col min="3072" max="3072" width="7.42578125" style="92" customWidth="1"/>
    <col min="3073" max="3073" width="8.42578125" style="92" customWidth="1"/>
    <col min="3074" max="3074" width="8.28515625" style="92" customWidth="1"/>
    <col min="3075" max="3075" width="11.42578125" style="92" customWidth="1"/>
    <col min="3076" max="3088" width="8" style="92" customWidth="1"/>
    <col min="3089" max="3089" width="9.42578125" style="92" customWidth="1"/>
    <col min="3090" max="3090" width="6.7109375" style="92" customWidth="1"/>
    <col min="3091" max="3093" width="8.28515625" style="92" customWidth="1"/>
    <col min="3094" max="3094" width="8.7109375" style="92" customWidth="1"/>
    <col min="3095" max="3095" width="6.7109375" style="92" customWidth="1"/>
    <col min="3096" max="3298" width="8.7109375" style="92"/>
    <col min="3299" max="3299" width="5.140625" style="92" customWidth="1"/>
    <col min="3300" max="3300" width="24" style="92" customWidth="1"/>
    <col min="3301" max="3301" width="7.7109375" style="92" customWidth="1"/>
    <col min="3302" max="3302" width="8.7109375" style="92" customWidth="1"/>
    <col min="3303" max="3303" width="8.42578125" style="92" customWidth="1"/>
    <col min="3304" max="3304" width="9.42578125" style="92" customWidth="1"/>
    <col min="3305" max="3305" width="10.140625" style="92" customWidth="1"/>
    <col min="3306" max="3306" width="7.7109375" style="92" customWidth="1"/>
    <col min="3307" max="3308" width="9.42578125" style="92" customWidth="1"/>
    <col min="3309" max="3310" width="9.7109375" style="92" customWidth="1"/>
    <col min="3311" max="3311" width="8.7109375" style="92" customWidth="1"/>
    <col min="3312" max="3312" width="9.42578125" style="92" customWidth="1"/>
    <col min="3313" max="3313" width="6.7109375" style="92" customWidth="1"/>
    <col min="3314" max="3314" width="8.140625" style="92" customWidth="1"/>
    <col min="3315" max="3315" width="10.42578125" style="92" customWidth="1"/>
    <col min="3316" max="3316" width="8.42578125" style="92" customWidth="1"/>
    <col min="3317" max="3317" width="9.7109375" style="92" customWidth="1"/>
    <col min="3318" max="3318" width="9.42578125" style="92" customWidth="1"/>
    <col min="3319" max="3319" width="7.42578125" style="92" customWidth="1"/>
    <col min="3320" max="3320" width="8.42578125" style="92" customWidth="1"/>
    <col min="3321" max="3322" width="8.28515625" style="92" customWidth="1"/>
    <col min="3323" max="3323" width="11.42578125" style="92" customWidth="1"/>
    <col min="3324" max="3324" width="10.42578125" style="92" customWidth="1"/>
    <col min="3325" max="3325" width="9.7109375" style="92" customWidth="1"/>
    <col min="3326" max="3326" width="9.140625" style="92" customWidth="1"/>
    <col min="3327" max="3327" width="9.42578125" style="92" customWidth="1"/>
    <col min="3328" max="3328" width="7.42578125" style="92" customWidth="1"/>
    <col min="3329" max="3329" width="8.42578125" style="92" customWidth="1"/>
    <col min="3330" max="3330" width="8.28515625" style="92" customWidth="1"/>
    <col min="3331" max="3331" width="11.42578125" style="92" customWidth="1"/>
    <col min="3332" max="3344" width="8" style="92" customWidth="1"/>
    <col min="3345" max="3345" width="9.42578125" style="92" customWidth="1"/>
    <col min="3346" max="3346" width="6.7109375" style="92" customWidth="1"/>
    <col min="3347" max="3349" width="8.28515625" style="92" customWidth="1"/>
    <col min="3350" max="3350" width="8.7109375" style="92" customWidth="1"/>
    <col min="3351" max="3351" width="6.7109375" style="92" customWidth="1"/>
    <col min="3352" max="3554" width="8.7109375" style="92"/>
    <col min="3555" max="3555" width="5.140625" style="92" customWidth="1"/>
    <col min="3556" max="3556" width="24" style="92" customWidth="1"/>
    <col min="3557" max="3557" width="7.7109375" style="92" customWidth="1"/>
    <col min="3558" max="3558" width="8.7109375" style="92" customWidth="1"/>
    <col min="3559" max="3559" width="8.42578125" style="92" customWidth="1"/>
    <col min="3560" max="3560" width="9.42578125" style="92" customWidth="1"/>
    <col min="3561" max="3561" width="10.140625" style="92" customWidth="1"/>
    <col min="3562" max="3562" width="7.7109375" style="92" customWidth="1"/>
    <col min="3563" max="3564" width="9.42578125" style="92" customWidth="1"/>
    <col min="3565" max="3566" width="9.7109375" style="92" customWidth="1"/>
    <col min="3567" max="3567" width="8.7109375" style="92" customWidth="1"/>
    <col min="3568" max="3568" width="9.42578125" style="92" customWidth="1"/>
    <col min="3569" max="3569" width="6.7109375" style="92" customWidth="1"/>
    <col min="3570" max="3570" width="8.140625" style="92" customWidth="1"/>
    <col min="3571" max="3571" width="10.42578125" style="92" customWidth="1"/>
    <col min="3572" max="3572" width="8.42578125" style="92" customWidth="1"/>
    <col min="3573" max="3573" width="9.7109375" style="92" customWidth="1"/>
    <col min="3574" max="3574" width="9.42578125" style="92" customWidth="1"/>
    <col min="3575" max="3575" width="7.42578125" style="92" customWidth="1"/>
    <col min="3576" max="3576" width="8.42578125" style="92" customWidth="1"/>
    <col min="3577" max="3578" width="8.28515625" style="92" customWidth="1"/>
    <col min="3579" max="3579" width="11.42578125" style="92" customWidth="1"/>
    <col min="3580" max="3580" width="10.42578125" style="92" customWidth="1"/>
    <col min="3581" max="3581" width="9.7109375" style="92" customWidth="1"/>
    <col min="3582" max="3582" width="9.140625" style="92" customWidth="1"/>
    <col min="3583" max="3583" width="9.42578125" style="92" customWidth="1"/>
    <col min="3584" max="3584" width="7.42578125" style="92" customWidth="1"/>
    <col min="3585" max="3585" width="8.42578125" style="92" customWidth="1"/>
    <col min="3586" max="3586" width="8.28515625" style="92" customWidth="1"/>
    <col min="3587" max="3587" width="11.42578125" style="92" customWidth="1"/>
    <col min="3588" max="3600" width="8" style="92" customWidth="1"/>
    <col min="3601" max="3601" width="9.42578125" style="92" customWidth="1"/>
    <col min="3602" max="3602" width="6.7109375" style="92" customWidth="1"/>
    <col min="3603" max="3605" width="8.28515625" style="92" customWidth="1"/>
    <col min="3606" max="3606" width="8.7109375" style="92" customWidth="1"/>
    <col min="3607" max="3607" width="6.7109375" style="92" customWidth="1"/>
    <col min="3608" max="3810" width="8.7109375" style="92"/>
    <col min="3811" max="3811" width="5.140625" style="92" customWidth="1"/>
    <col min="3812" max="3812" width="24" style="92" customWidth="1"/>
    <col min="3813" max="3813" width="7.7109375" style="92" customWidth="1"/>
    <col min="3814" max="3814" width="8.7109375" style="92" customWidth="1"/>
    <col min="3815" max="3815" width="8.42578125" style="92" customWidth="1"/>
    <col min="3816" max="3816" width="9.42578125" style="92" customWidth="1"/>
    <col min="3817" max="3817" width="10.140625" style="92" customWidth="1"/>
    <col min="3818" max="3818" width="7.7109375" style="92" customWidth="1"/>
    <col min="3819" max="3820" width="9.42578125" style="92" customWidth="1"/>
    <col min="3821" max="3822" width="9.7109375" style="92" customWidth="1"/>
    <col min="3823" max="3823" width="8.7109375" style="92" customWidth="1"/>
    <col min="3824" max="3824" width="9.42578125" style="92" customWidth="1"/>
    <col min="3825" max="3825" width="6.7109375" style="92" customWidth="1"/>
    <col min="3826" max="3826" width="8.140625" style="92" customWidth="1"/>
    <col min="3827" max="3827" width="10.42578125" style="92" customWidth="1"/>
    <col min="3828" max="3828" width="8.42578125" style="92" customWidth="1"/>
    <col min="3829" max="3829" width="9.7109375" style="92" customWidth="1"/>
    <col min="3830" max="3830" width="9.42578125" style="92" customWidth="1"/>
    <col min="3831" max="3831" width="7.42578125" style="92" customWidth="1"/>
    <col min="3832" max="3832" width="8.42578125" style="92" customWidth="1"/>
    <col min="3833" max="3834" width="8.28515625" style="92" customWidth="1"/>
    <col min="3835" max="3835" width="11.42578125" style="92" customWidth="1"/>
    <col min="3836" max="3836" width="10.42578125" style="92" customWidth="1"/>
    <col min="3837" max="3837" width="9.7109375" style="92" customWidth="1"/>
    <col min="3838" max="3838" width="9.140625" style="92" customWidth="1"/>
    <col min="3839" max="3839" width="9.42578125" style="92" customWidth="1"/>
    <col min="3840" max="3840" width="7.42578125" style="92" customWidth="1"/>
    <col min="3841" max="3841" width="8.42578125" style="92" customWidth="1"/>
    <col min="3842" max="3842" width="8.28515625" style="92" customWidth="1"/>
    <col min="3843" max="3843" width="11.42578125" style="92" customWidth="1"/>
    <col min="3844" max="3856" width="8" style="92" customWidth="1"/>
    <col min="3857" max="3857" width="9.42578125" style="92" customWidth="1"/>
    <col min="3858" max="3858" width="6.7109375" style="92" customWidth="1"/>
    <col min="3859" max="3861" width="8.28515625" style="92" customWidth="1"/>
    <col min="3862" max="3862" width="8.7109375" style="92" customWidth="1"/>
    <col min="3863" max="3863" width="6.7109375" style="92" customWidth="1"/>
    <col min="3864" max="4066" width="8.7109375" style="92"/>
    <col min="4067" max="4067" width="5.140625" style="92" customWidth="1"/>
    <col min="4068" max="4068" width="24" style="92" customWidth="1"/>
    <col min="4069" max="4069" width="7.7109375" style="92" customWidth="1"/>
    <col min="4070" max="4070" width="8.7109375" style="92" customWidth="1"/>
    <col min="4071" max="4071" width="8.42578125" style="92" customWidth="1"/>
    <col min="4072" max="4072" width="9.42578125" style="92" customWidth="1"/>
    <col min="4073" max="4073" width="10.140625" style="92" customWidth="1"/>
    <col min="4074" max="4074" width="7.7109375" style="92" customWidth="1"/>
    <col min="4075" max="4076" width="9.42578125" style="92" customWidth="1"/>
    <col min="4077" max="4078" width="9.7109375" style="92" customWidth="1"/>
    <col min="4079" max="4079" width="8.7109375" style="92" customWidth="1"/>
    <col min="4080" max="4080" width="9.42578125" style="92" customWidth="1"/>
    <col min="4081" max="4081" width="6.7109375" style="92" customWidth="1"/>
    <col min="4082" max="4082" width="8.140625" style="92" customWidth="1"/>
    <col min="4083" max="4083" width="10.42578125" style="92" customWidth="1"/>
    <col min="4084" max="4084" width="8.42578125" style="92" customWidth="1"/>
    <col min="4085" max="4085" width="9.7109375" style="92" customWidth="1"/>
    <col min="4086" max="4086" width="9.42578125" style="92" customWidth="1"/>
    <col min="4087" max="4087" width="7.42578125" style="92" customWidth="1"/>
    <col min="4088" max="4088" width="8.42578125" style="92" customWidth="1"/>
    <col min="4089" max="4090" width="8.28515625" style="92" customWidth="1"/>
    <col min="4091" max="4091" width="11.42578125" style="92" customWidth="1"/>
    <col min="4092" max="4092" width="10.42578125" style="92" customWidth="1"/>
    <col min="4093" max="4093" width="9.7109375" style="92" customWidth="1"/>
    <col min="4094" max="4094" width="9.140625" style="92" customWidth="1"/>
    <col min="4095" max="4095" width="9.42578125" style="92" customWidth="1"/>
    <col min="4096" max="4096" width="7.42578125" style="92" customWidth="1"/>
    <col min="4097" max="4097" width="8.42578125" style="92" customWidth="1"/>
    <col min="4098" max="4098" width="8.28515625" style="92" customWidth="1"/>
    <col min="4099" max="4099" width="11.42578125" style="92" customWidth="1"/>
    <col min="4100" max="4112" width="8" style="92" customWidth="1"/>
    <col min="4113" max="4113" width="9.42578125" style="92" customWidth="1"/>
    <col min="4114" max="4114" width="6.7109375" style="92" customWidth="1"/>
    <col min="4115" max="4117" width="8.28515625" style="92" customWidth="1"/>
    <col min="4118" max="4118" width="8.7109375" style="92" customWidth="1"/>
    <col min="4119" max="4119" width="6.7109375" style="92" customWidth="1"/>
    <col min="4120" max="4322" width="8.7109375" style="92"/>
    <col min="4323" max="4323" width="5.140625" style="92" customWidth="1"/>
    <col min="4324" max="4324" width="24" style="92" customWidth="1"/>
    <col min="4325" max="4325" width="7.7109375" style="92" customWidth="1"/>
    <col min="4326" max="4326" width="8.7109375" style="92" customWidth="1"/>
    <col min="4327" max="4327" width="8.42578125" style="92" customWidth="1"/>
    <col min="4328" max="4328" width="9.42578125" style="92" customWidth="1"/>
    <col min="4329" max="4329" width="10.140625" style="92" customWidth="1"/>
    <col min="4330" max="4330" width="7.7109375" style="92" customWidth="1"/>
    <col min="4331" max="4332" width="9.42578125" style="92" customWidth="1"/>
    <col min="4333" max="4334" width="9.7109375" style="92" customWidth="1"/>
    <col min="4335" max="4335" width="8.7109375" style="92" customWidth="1"/>
    <col min="4336" max="4336" width="9.42578125" style="92" customWidth="1"/>
    <col min="4337" max="4337" width="6.7109375" style="92" customWidth="1"/>
    <col min="4338" max="4338" width="8.140625" style="92" customWidth="1"/>
    <col min="4339" max="4339" width="10.42578125" style="92" customWidth="1"/>
    <col min="4340" max="4340" width="8.42578125" style="92" customWidth="1"/>
    <col min="4341" max="4341" width="9.7109375" style="92" customWidth="1"/>
    <col min="4342" max="4342" width="9.42578125" style="92" customWidth="1"/>
    <col min="4343" max="4343" width="7.42578125" style="92" customWidth="1"/>
    <col min="4344" max="4344" width="8.42578125" style="92" customWidth="1"/>
    <col min="4345" max="4346" width="8.28515625" style="92" customWidth="1"/>
    <col min="4347" max="4347" width="11.42578125" style="92" customWidth="1"/>
    <col min="4348" max="4348" width="10.42578125" style="92" customWidth="1"/>
    <col min="4349" max="4349" width="9.7109375" style="92" customWidth="1"/>
    <col min="4350" max="4350" width="9.140625" style="92" customWidth="1"/>
    <col min="4351" max="4351" width="9.42578125" style="92" customWidth="1"/>
    <col min="4352" max="4352" width="7.42578125" style="92" customWidth="1"/>
    <col min="4353" max="4353" width="8.42578125" style="92" customWidth="1"/>
    <col min="4354" max="4354" width="8.28515625" style="92" customWidth="1"/>
    <col min="4355" max="4355" width="11.42578125" style="92" customWidth="1"/>
    <col min="4356" max="4368" width="8" style="92" customWidth="1"/>
    <col min="4369" max="4369" width="9.42578125" style="92" customWidth="1"/>
    <col min="4370" max="4370" width="6.7109375" style="92" customWidth="1"/>
    <col min="4371" max="4373" width="8.28515625" style="92" customWidth="1"/>
    <col min="4374" max="4374" width="8.7109375" style="92" customWidth="1"/>
    <col min="4375" max="4375" width="6.7109375" style="92" customWidth="1"/>
    <col min="4376" max="4578" width="8.7109375" style="92"/>
    <col min="4579" max="4579" width="5.140625" style="92" customWidth="1"/>
    <col min="4580" max="4580" width="24" style="92" customWidth="1"/>
    <col min="4581" max="4581" width="7.7109375" style="92" customWidth="1"/>
    <col min="4582" max="4582" width="8.7109375" style="92" customWidth="1"/>
    <col min="4583" max="4583" width="8.42578125" style="92" customWidth="1"/>
    <col min="4584" max="4584" width="9.42578125" style="92" customWidth="1"/>
    <col min="4585" max="4585" width="10.140625" style="92" customWidth="1"/>
    <col min="4586" max="4586" width="7.7109375" style="92" customWidth="1"/>
    <col min="4587" max="4588" width="9.42578125" style="92" customWidth="1"/>
    <col min="4589" max="4590" width="9.7109375" style="92" customWidth="1"/>
    <col min="4591" max="4591" width="8.7109375" style="92" customWidth="1"/>
    <col min="4592" max="4592" width="9.42578125" style="92" customWidth="1"/>
    <col min="4593" max="4593" width="6.7109375" style="92" customWidth="1"/>
    <col min="4594" max="4594" width="8.140625" style="92" customWidth="1"/>
    <col min="4595" max="4595" width="10.42578125" style="92" customWidth="1"/>
    <col min="4596" max="4596" width="8.42578125" style="92" customWidth="1"/>
    <col min="4597" max="4597" width="9.7109375" style="92" customWidth="1"/>
    <col min="4598" max="4598" width="9.42578125" style="92" customWidth="1"/>
    <col min="4599" max="4599" width="7.42578125" style="92" customWidth="1"/>
    <col min="4600" max="4600" width="8.42578125" style="92" customWidth="1"/>
    <col min="4601" max="4602" width="8.28515625" style="92" customWidth="1"/>
    <col min="4603" max="4603" width="11.42578125" style="92" customWidth="1"/>
    <col min="4604" max="4604" width="10.42578125" style="92" customWidth="1"/>
    <col min="4605" max="4605" width="9.7109375" style="92" customWidth="1"/>
    <col min="4606" max="4606" width="9.140625" style="92" customWidth="1"/>
    <col min="4607" max="4607" width="9.42578125" style="92" customWidth="1"/>
    <col min="4608" max="4608" width="7.42578125" style="92" customWidth="1"/>
    <col min="4609" max="4609" width="8.42578125" style="92" customWidth="1"/>
    <col min="4610" max="4610" width="8.28515625" style="92" customWidth="1"/>
    <col min="4611" max="4611" width="11.42578125" style="92" customWidth="1"/>
    <col min="4612" max="4624" width="8" style="92" customWidth="1"/>
    <col min="4625" max="4625" width="9.42578125" style="92" customWidth="1"/>
    <col min="4626" max="4626" width="6.7109375" style="92" customWidth="1"/>
    <col min="4627" max="4629" width="8.28515625" style="92" customWidth="1"/>
    <col min="4630" max="4630" width="8.7109375" style="92" customWidth="1"/>
    <col min="4631" max="4631" width="6.7109375" style="92" customWidth="1"/>
    <col min="4632" max="4834" width="8.7109375" style="92"/>
    <col min="4835" max="4835" width="5.140625" style="92" customWidth="1"/>
    <col min="4836" max="4836" width="24" style="92" customWidth="1"/>
    <col min="4837" max="4837" width="7.7109375" style="92" customWidth="1"/>
    <col min="4838" max="4838" width="8.7109375" style="92" customWidth="1"/>
    <col min="4839" max="4839" width="8.42578125" style="92" customWidth="1"/>
    <col min="4840" max="4840" width="9.42578125" style="92" customWidth="1"/>
    <col min="4841" max="4841" width="10.140625" style="92" customWidth="1"/>
    <col min="4842" max="4842" width="7.7109375" style="92" customWidth="1"/>
    <col min="4843" max="4844" width="9.42578125" style="92" customWidth="1"/>
    <col min="4845" max="4846" width="9.7109375" style="92" customWidth="1"/>
    <col min="4847" max="4847" width="8.7109375" style="92" customWidth="1"/>
    <col min="4848" max="4848" width="9.42578125" style="92" customWidth="1"/>
    <col min="4849" max="4849" width="6.7109375" style="92" customWidth="1"/>
    <col min="4850" max="4850" width="8.140625" style="92" customWidth="1"/>
    <col min="4851" max="4851" width="10.42578125" style="92" customWidth="1"/>
    <col min="4852" max="4852" width="8.42578125" style="92" customWidth="1"/>
    <col min="4853" max="4853" width="9.7109375" style="92" customWidth="1"/>
    <col min="4854" max="4854" width="9.42578125" style="92" customWidth="1"/>
    <col min="4855" max="4855" width="7.42578125" style="92" customWidth="1"/>
    <col min="4856" max="4856" width="8.42578125" style="92" customWidth="1"/>
    <col min="4857" max="4858" width="8.28515625" style="92" customWidth="1"/>
    <col min="4859" max="4859" width="11.42578125" style="92" customWidth="1"/>
    <col min="4860" max="4860" width="10.42578125" style="92" customWidth="1"/>
    <col min="4861" max="4861" width="9.7109375" style="92" customWidth="1"/>
    <col min="4862" max="4862" width="9.140625" style="92" customWidth="1"/>
    <col min="4863" max="4863" width="9.42578125" style="92" customWidth="1"/>
    <col min="4864" max="4864" width="7.42578125" style="92" customWidth="1"/>
    <col min="4865" max="4865" width="8.42578125" style="92" customWidth="1"/>
    <col min="4866" max="4866" width="8.28515625" style="92" customWidth="1"/>
    <col min="4867" max="4867" width="11.42578125" style="92" customWidth="1"/>
    <col min="4868" max="4880" width="8" style="92" customWidth="1"/>
    <col min="4881" max="4881" width="9.42578125" style="92" customWidth="1"/>
    <col min="4882" max="4882" width="6.7109375" style="92" customWidth="1"/>
    <col min="4883" max="4885" width="8.28515625" style="92" customWidth="1"/>
    <col min="4886" max="4886" width="8.7109375" style="92" customWidth="1"/>
    <col min="4887" max="4887" width="6.7109375" style="92" customWidth="1"/>
    <col min="4888" max="5090" width="8.7109375" style="92"/>
    <col min="5091" max="5091" width="5.140625" style="92" customWidth="1"/>
    <col min="5092" max="5092" width="24" style="92" customWidth="1"/>
    <col min="5093" max="5093" width="7.7109375" style="92" customWidth="1"/>
    <col min="5094" max="5094" width="8.7109375" style="92" customWidth="1"/>
    <col min="5095" max="5095" width="8.42578125" style="92" customWidth="1"/>
    <col min="5096" max="5096" width="9.42578125" style="92" customWidth="1"/>
    <col min="5097" max="5097" width="10.140625" style="92" customWidth="1"/>
    <col min="5098" max="5098" width="7.7109375" style="92" customWidth="1"/>
    <col min="5099" max="5100" width="9.42578125" style="92" customWidth="1"/>
    <col min="5101" max="5102" width="9.7109375" style="92" customWidth="1"/>
    <col min="5103" max="5103" width="8.7109375" style="92" customWidth="1"/>
    <col min="5104" max="5104" width="9.42578125" style="92" customWidth="1"/>
    <col min="5105" max="5105" width="6.7109375" style="92" customWidth="1"/>
    <col min="5106" max="5106" width="8.140625" style="92" customWidth="1"/>
    <col min="5107" max="5107" width="10.42578125" style="92" customWidth="1"/>
    <col min="5108" max="5108" width="8.42578125" style="92" customWidth="1"/>
    <col min="5109" max="5109" width="9.7109375" style="92" customWidth="1"/>
    <col min="5110" max="5110" width="9.42578125" style="92" customWidth="1"/>
    <col min="5111" max="5111" width="7.42578125" style="92" customWidth="1"/>
    <col min="5112" max="5112" width="8.42578125" style="92" customWidth="1"/>
    <col min="5113" max="5114" width="8.28515625" style="92" customWidth="1"/>
    <col min="5115" max="5115" width="11.42578125" style="92" customWidth="1"/>
    <col min="5116" max="5116" width="10.42578125" style="92" customWidth="1"/>
    <col min="5117" max="5117" width="9.7109375" style="92" customWidth="1"/>
    <col min="5118" max="5118" width="9.140625" style="92" customWidth="1"/>
    <col min="5119" max="5119" width="9.42578125" style="92" customWidth="1"/>
    <col min="5120" max="5120" width="7.42578125" style="92" customWidth="1"/>
    <col min="5121" max="5121" width="8.42578125" style="92" customWidth="1"/>
    <col min="5122" max="5122" width="8.28515625" style="92" customWidth="1"/>
    <col min="5123" max="5123" width="11.42578125" style="92" customWidth="1"/>
    <col min="5124" max="5136" width="8" style="92" customWidth="1"/>
    <col min="5137" max="5137" width="9.42578125" style="92" customWidth="1"/>
    <col min="5138" max="5138" width="6.7109375" style="92" customWidth="1"/>
    <col min="5139" max="5141" width="8.28515625" style="92" customWidth="1"/>
    <col min="5142" max="5142" width="8.7109375" style="92" customWidth="1"/>
    <col min="5143" max="5143" width="6.7109375" style="92" customWidth="1"/>
    <col min="5144" max="5346" width="8.7109375" style="92"/>
    <col min="5347" max="5347" width="5.140625" style="92" customWidth="1"/>
    <col min="5348" max="5348" width="24" style="92" customWidth="1"/>
    <col min="5349" max="5349" width="7.7109375" style="92" customWidth="1"/>
    <col min="5350" max="5350" width="8.7109375" style="92" customWidth="1"/>
    <col min="5351" max="5351" width="8.42578125" style="92" customWidth="1"/>
    <col min="5352" max="5352" width="9.42578125" style="92" customWidth="1"/>
    <col min="5353" max="5353" width="10.140625" style="92" customWidth="1"/>
    <col min="5354" max="5354" width="7.7109375" style="92" customWidth="1"/>
    <col min="5355" max="5356" width="9.42578125" style="92" customWidth="1"/>
    <col min="5357" max="5358" width="9.7109375" style="92" customWidth="1"/>
    <col min="5359" max="5359" width="8.7109375" style="92" customWidth="1"/>
    <col min="5360" max="5360" width="9.42578125" style="92" customWidth="1"/>
    <col min="5361" max="5361" width="6.7109375" style="92" customWidth="1"/>
    <col min="5362" max="5362" width="8.140625" style="92" customWidth="1"/>
    <col min="5363" max="5363" width="10.42578125" style="92" customWidth="1"/>
    <col min="5364" max="5364" width="8.42578125" style="92" customWidth="1"/>
    <col min="5365" max="5365" width="9.7109375" style="92" customWidth="1"/>
    <col min="5366" max="5366" width="9.42578125" style="92" customWidth="1"/>
    <col min="5367" max="5367" width="7.42578125" style="92" customWidth="1"/>
    <col min="5368" max="5368" width="8.42578125" style="92" customWidth="1"/>
    <col min="5369" max="5370" width="8.28515625" style="92" customWidth="1"/>
    <col min="5371" max="5371" width="11.42578125" style="92" customWidth="1"/>
    <col min="5372" max="5372" width="10.42578125" style="92" customWidth="1"/>
    <col min="5373" max="5373" width="9.7109375" style="92" customWidth="1"/>
    <col min="5374" max="5374" width="9.140625" style="92" customWidth="1"/>
    <col min="5375" max="5375" width="9.42578125" style="92" customWidth="1"/>
    <col min="5376" max="5376" width="7.42578125" style="92" customWidth="1"/>
    <col min="5377" max="5377" width="8.42578125" style="92" customWidth="1"/>
    <col min="5378" max="5378" width="8.28515625" style="92" customWidth="1"/>
    <col min="5379" max="5379" width="11.42578125" style="92" customWidth="1"/>
    <col min="5380" max="5392" width="8" style="92" customWidth="1"/>
    <col min="5393" max="5393" width="9.42578125" style="92" customWidth="1"/>
    <col min="5394" max="5394" width="6.7109375" style="92" customWidth="1"/>
    <col min="5395" max="5397" width="8.28515625" style="92" customWidth="1"/>
    <col min="5398" max="5398" width="8.7109375" style="92" customWidth="1"/>
    <col min="5399" max="5399" width="6.7109375" style="92" customWidth="1"/>
    <col min="5400" max="5602" width="8.7109375" style="92"/>
    <col min="5603" max="5603" width="5.140625" style="92" customWidth="1"/>
    <col min="5604" max="5604" width="24" style="92" customWidth="1"/>
    <col min="5605" max="5605" width="7.7109375" style="92" customWidth="1"/>
    <col min="5606" max="5606" width="8.7109375" style="92" customWidth="1"/>
    <col min="5607" max="5607" width="8.42578125" style="92" customWidth="1"/>
    <col min="5608" max="5608" width="9.42578125" style="92" customWidth="1"/>
    <col min="5609" max="5609" width="10.140625" style="92" customWidth="1"/>
    <col min="5610" max="5610" width="7.7109375" style="92" customWidth="1"/>
    <col min="5611" max="5612" width="9.42578125" style="92" customWidth="1"/>
    <col min="5613" max="5614" width="9.7109375" style="92" customWidth="1"/>
    <col min="5615" max="5615" width="8.7109375" style="92" customWidth="1"/>
    <col min="5616" max="5616" width="9.42578125" style="92" customWidth="1"/>
    <col min="5617" max="5617" width="6.7109375" style="92" customWidth="1"/>
    <col min="5618" max="5618" width="8.140625" style="92" customWidth="1"/>
    <col min="5619" max="5619" width="10.42578125" style="92" customWidth="1"/>
    <col min="5620" max="5620" width="8.42578125" style="92" customWidth="1"/>
    <col min="5621" max="5621" width="9.7109375" style="92" customWidth="1"/>
    <col min="5622" max="5622" width="9.42578125" style="92" customWidth="1"/>
    <col min="5623" max="5623" width="7.42578125" style="92" customWidth="1"/>
    <col min="5624" max="5624" width="8.42578125" style="92" customWidth="1"/>
    <col min="5625" max="5626" width="8.28515625" style="92" customWidth="1"/>
    <col min="5627" max="5627" width="11.42578125" style="92" customWidth="1"/>
    <col min="5628" max="5628" width="10.42578125" style="92" customWidth="1"/>
    <col min="5629" max="5629" width="9.7109375" style="92" customWidth="1"/>
    <col min="5630" max="5630" width="9.140625" style="92" customWidth="1"/>
    <col min="5631" max="5631" width="9.42578125" style="92" customWidth="1"/>
    <col min="5632" max="5632" width="7.42578125" style="92" customWidth="1"/>
    <col min="5633" max="5633" width="8.42578125" style="92" customWidth="1"/>
    <col min="5634" max="5634" width="8.28515625" style="92" customWidth="1"/>
    <col min="5635" max="5635" width="11.42578125" style="92" customWidth="1"/>
    <col min="5636" max="5648" width="8" style="92" customWidth="1"/>
    <col min="5649" max="5649" width="9.42578125" style="92" customWidth="1"/>
    <col min="5650" max="5650" width="6.7109375" style="92" customWidth="1"/>
    <col min="5651" max="5653" width="8.28515625" style="92" customWidth="1"/>
    <col min="5654" max="5654" width="8.7109375" style="92" customWidth="1"/>
    <col min="5655" max="5655" width="6.7109375" style="92" customWidth="1"/>
    <col min="5656" max="5858" width="8.7109375" style="92"/>
    <col min="5859" max="5859" width="5.140625" style="92" customWidth="1"/>
    <col min="5860" max="5860" width="24" style="92" customWidth="1"/>
    <col min="5861" max="5861" width="7.7109375" style="92" customWidth="1"/>
    <col min="5862" max="5862" width="8.7109375" style="92" customWidth="1"/>
    <col min="5863" max="5863" width="8.42578125" style="92" customWidth="1"/>
    <col min="5864" max="5864" width="9.42578125" style="92" customWidth="1"/>
    <col min="5865" max="5865" width="10.140625" style="92" customWidth="1"/>
    <col min="5866" max="5866" width="7.7109375" style="92" customWidth="1"/>
    <col min="5867" max="5868" width="9.42578125" style="92" customWidth="1"/>
    <col min="5869" max="5870" width="9.7109375" style="92" customWidth="1"/>
    <col min="5871" max="5871" width="8.7109375" style="92" customWidth="1"/>
    <col min="5872" max="5872" width="9.42578125" style="92" customWidth="1"/>
    <col min="5873" max="5873" width="6.7109375" style="92" customWidth="1"/>
    <col min="5874" max="5874" width="8.140625" style="92" customWidth="1"/>
    <col min="5875" max="5875" width="10.42578125" style="92" customWidth="1"/>
    <col min="5876" max="5876" width="8.42578125" style="92" customWidth="1"/>
    <col min="5877" max="5877" width="9.7109375" style="92" customWidth="1"/>
    <col min="5878" max="5878" width="9.42578125" style="92" customWidth="1"/>
    <col min="5879" max="5879" width="7.42578125" style="92" customWidth="1"/>
    <col min="5880" max="5880" width="8.42578125" style="92" customWidth="1"/>
    <col min="5881" max="5882" width="8.28515625" style="92" customWidth="1"/>
    <col min="5883" max="5883" width="11.42578125" style="92" customWidth="1"/>
    <col min="5884" max="5884" width="10.42578125" style="92" customWidth="1"/>
    <col min="5885" max="5885" width="9.7109375" style="92" customWidth="1"/>
    <col min="5886" max="5886" width="9.140625" style="92" customWidth="1"/>
    <col min="5887" max="5887" width="9.42578125" style="92" customWidth="1"/>
    <col min="5888" max="5888" width="7.42578125" style="92" customWidth="1"/>
    <col min="5889" max="5889" width="8.42578125" style="92" customWidth="1"/>
    <col min="5890" max="5890" width="8.28515625" style="92" customWidth="1"/>
    <col min="5891" max="5891" width="11.42578125" style="92" customWidth="1"/>
    <col min="5892" max="5904" width="8" style="92" customWidth="1"/>
    <col min="5905" max="5905" width="9.42578125" style="92" customWidth="1"/>
    <col min="5906" max="5906" width="6.7109375" style="92" customWidth="1"/>
    <col min="5907" max="5909" width="8.28515625" style="92" customWidth="1"/>
    <col min="5910" max="5910" width="8.7109375" style="92" customWidth="1"/>
    <col min="5911" max="5911" width="6.7109375" style="92" customWidth="1"/>
    <col min="5912" max="6114" width="8.7109375" style="92"/>
    <col min="6115" max="6115" width="5.140625" style="92" customWidth="1"/>
    <col min="6116" max="6116" width="24" style="92" customWidth="1"/>
    <col min="6117" max="6117" width="7.7109375" style="92" customWidth="1"/>
    <col min="6118" max="6118" width="8.7109375" style="92" customWidth="1"/>
    <col min="6119" max="6119" width="8.42578125" style="92" customWidth="1"/>
    <col min="6120" max="6120" width="9.42578125" style="92" customWidth="1"/>
    <col min="6121" max="6121" width="10.140625" style="92" customWidth="1"/>
    <col min="6122" max="6122" width="7.7109375" style="92" customWidth="1"/>
    <col min="6123" max="6124" width="9.42578125" style="92" customWidth="1"/>
    <col min="6125" max="6126" width="9.7109375" style="92" customWidth="1"/>
    <col min="6127" max="6127" width="8.7109375" style="92" customWidth="1"/>
    <col min="6128" max="6128" width="9.42578125" style="92" customWidth="1"/>
    <col min="6129" max="6129" width="6.7109375" style="92" customWidth="1"/>
    <col min="6130" max="6130" width="8.140625" style="92" customWidth="1"/>
    <col min="6131" max="6131" width="10.42578125" style="92" customWidth="1"/>
    <col min="6132" max="6132" width="8.42578125" style="92" customWidth="1"/>
    <col min="6133" max="6133" width="9.7109375" style="92" customWidth="1"/>
    <col min="6134" max="6134" width="9.42578125" style="92" customWidth="1"/>
    <col min="6135" max="6135" width="7.42578125" style="92" customWidth="1"/>
    <col min="6136" max="6136" width="8.42578125" style="92" customWidth="1"/>
    <col min="6137" max="6138" width="8.28515625" style="92" customWidth="1"/>
    <col min="6139" max="6139" width="11.42578125" style="92" customWidth="1"/>
    <col min="6140" max="6140" width="10.42578125" style="92" customWidth="1"/>
    <col min="6141" max="6141" width="9.7109375" style="92" customWidth="1"/>
    <col min="6142" max="6142" width="9.140625" style="92" customWidth="1"/>
    <col min="6143" max="6143" width="9.42578125" style="92" customWidth="1"/>
    <col min="6144" max="6144" width="7.42578125" style="92" customWidth="1"/>
    <col min="6145" max="6145" width="8.42578125" style="92" customWidth="1"/>
    <col min="6146" max="6146" width="8.28515625" style="92" customWidth="1"/>
    <col min="6147" max="6147" width="11.42578125" style="92" customWidth="1"/>
    <col min="6148" max="6160" width="8" style="92" customWidth="1"/>
    <col min="6161" max="6161" width="9.42578125" style="92" customWidth="1"/>
    <col min="6162" max="6162" width="6.7109375" style="92" customWidth="1"/>
    <col min="6163" max="6165" width="8.28515625" style="92" customWidth="1"/>
    <col min="6166" max="6166" width="8.7109375" style="92" customWidth="1"/>
    <col min="6167" max="6167" width="6.7109375" style="92" customWidth="1"/>
    <col min="6168" max="6370" width="8.7109375" style="92"/>
    <col min="6371" max="6371" width="5.140625" style="92" customWidth="1"/>
    <col min="6372" max="6372" width="24" style="92" customWidth="1"/>
    <col min="6373" max="6373" width="7.7109375" style="92" customWidth="1"/>
    <col min="6374" max="6374" width="8.7109375" style="92" customWidth="1"/>
    <col min="6375" max="6375" width="8.42578125" style="92" customWidth="1"/>
    <col min="6376" max="6376" width="9.42578125" style="92" customWidth="1"/>
    <col min="6377" max="6377" width="10.140625" style="92" customWidth="1"/>
    <col min="6378" max="6378" width="7.7109375" style="92" customWidth="1"/>
    <col min="6379" max="6380" width="9.42578125" style="92" customWidth="1"/>
    <col min="6381" max="6382" width="9.7109375" style="92" customWidth="1"/>
    <col min="6383" max="6383" width="8.7109375" style="92" customWidth="1"/>
    <col min="6384" max="6384" width="9.42578125" style="92" customWidth="1"/>
    <col min="6385" max="6385" width="6.7109375" style="92" customWidth="1"/>
    <col min="6386" max="6386" width="8.140625" style="92" customWidth="1"/>
    <col min="6387" max="6387" width="10.42578125" style="92" customWidth="1"/>
    <col min="6388" max="6388" width="8.42578125" style="92" customWidth="1"/>
    <col min="6389" max="6389" width="9.7109375" style="92" customWidth="1"/>
    <col min="6390" max="6390" width="9.42578125" style="92" customWidth="1"/>
    <col min="6391" max="6391" width="7.42578125" style="92" customWidth="1"/>
    <col min="6392" max="6392" width="8.42578125" style="92" customWidth="1"/>
    <col min="6393" max="6394" width="8.28515625" style="92" customWidth="1"/>
    <col min="6395" max="6395" width="11.42578125" style="92" customWidth="1"/>
    <col min="6396" max="6396" width="10.42578125" style="92" customWidth="1"/>
    <col min="6397" max="6397" width="9.7109375" style="92" customWidth="1"/>
    <col min="6398" max="6398" width="9.140625" style="92" customWidth="1"/>
    <col min="6399" max="6399" width="9.42578125" style="92" customWidth="1"/>
    <col min="6400" max="6400" width="7.42578125" style="92" customWidth="1"/>
    <col min="6401" max="6401" width="8.42578125" style="92" customWidth="1"/>
    <col min="6402" max="6402" width="8.28515625" style="92" customWidth="1"/>
    <col min="6403" max="6403" width="11.42578125" style="92" customWidth="1"/>
    <col min="6404" max="6416" width="8" style="92" customWidth="1"/>
    <col min="6417" max="6417" width="9.42578125" style="92" customWidth="1"/>
    <col min="6418" max="6418" width="6.7109375" style="92" customWidth="1"/>
    <col min="6419" max="6421" width="8.28515625" style="92" customWidth="1"/>
    <col min="6422" max="6422" width="8.7109375" style="92" customWidth="1"/>
    <col min="6423" max="6423" width="6.7109375" style="92" customWidth="1"/>
    <col min="6424" max="6626" width="8.7109375" style="92"/>
    <col min="6627" max="6627" width="5.140625" style="92" customWidth="1"/>
    <col min="6628" max="6628" width="24" style="92" customWidth="1"/>
    <col min="6629" max="6629" width="7.7109375" style="92" customWidth="1"/>
    <col min="6630" max="6630" width="8.7109375" style="92" customWidth="1"/>
    <col min="6631" max="6631" width="8.42578125" style="92" customWidth="1"/>
    <col min="6632" max="6632" width="9.42578125" style="92" customWidth="1"/>
    <col min="6633" max="6633" width="10.140625" style="92" customWidth="1"/>
    <col min="6634" max="6634" width="7.7109375" style="92" customWidth="1"/>
    <col min="6635" max="6636" width="9.42578125" style="92" customWidth="1"/>
    <col min="6637" max="6638" width="9.7109375" style="92" customWidth="1"/>
    <col min="6639" max="6639" width="8.7109375" style="92" customWidth="1"/>
    <col min="6640" max="6640" width="9.42578125" style="92" customWidth="1"/>
    <col min="6641" max="6641" width="6.7109375" style="92" customWidth="1"/>
    <col min="6642" max="6642" width="8.140625" style="92" customWidth="1"/>
    <col min="6643" max="6643" width="10.42578125" style="92" customWidth="1"/>
    <col min="6644" max="6644" width="8.42578125" style="92" customWidth="1"/>
    <col min="6645" max="6645" width="9.7109375" style="92" customWidth="1"/>
    <col min="6646" max="6646" width="9.42578125" style="92" customWidth="1"/>
    <col min="6647" max="6647" width="7.42578125" style="92" customWidth="1"/>
    <col min="6648" max="6648" width="8.42578125" style="92" customWidth="1"/>
    <col min="6649" max="6650" width="8.28515625" style="92" customWidth="1"/>
    <col min="6651" max="6651" width="11.42578125" style="92" customWidth="1"/>
    <col min="6652" max="6652" width="10.42578125" style="92" customWidth="1"/>
    <col min="6653" max="6653" width="9.7109375" style="92" customWidth="1"/>
    <col min="6654" max="6654" width="9.140625" style="92" customWidth="1"/>
    <col min="6655" max="6655" width="9.42578125" style="92" customWidth="1"/>
    <col min="6656" max="6656" width="7.42578125" style="92" customWidth="1"/>
    <col min="6657" max="6657" width="8.42578125" style="92" customWidth="1"/>
    <col min="6658" max="6658" width="8.28515625" style="92" customWidth="1"/>
    <col min="6659" max="6659" width="11.42578125" style="92" customWidth="1"/>
    <col min="6660" max="6672" width="8" style="92" customWidth="1"/>
    <col min="6673" max="6673" width="9.42578125" style="92" customWidth="1"/>
    <col min="6674" max="6674" width="6.7109375" style="92" customWidth="1"/>
    <col min="6675" max="6677" width="8.28515625" style="92" customWidth="1"/>
    <col min="6678" max="6678" width="8.7109375" style="92" customWidth="1"/>
    <col min="6679" max="6679" width="6.7109375" style="92" customWidth="1"/>
    <col min="6680" max="6882" width="8.7109375" style="92"/>
    <col min="6883" max="6883" width="5.140625" style="92" customWidth="1"/>
    <col min="6884" max="6884" width="24" style="92" customWidth="1"/>
    <col min="6885" max="6885" width="7.7109375" style="92" customWidth="1"/>
    <col min="6886" max="6886" width="8.7109375" style="92" customWidth="1"/>
    <col min="6887" max="6887" width="8.42578125" style="92" customWidth="1"/>
    <col min="6888" max="6888" width="9.42578125" style="92" customWidth="1"/>
    <col min="6889" max="6889" width="10.140625" style="92" customWidth="1"/>
    <col min="6890" max="6890" width="7.7109375" style="92" customWidth="1"/>
    <col min="6891" max="6892" width="9.42578125" style="92" customWidth="1"/>
    <col min="6893" max="6894" width="9.7109375" style="92" customWidth="1"/>
    <col min="6895" max="6895" width="8.7109375" style="92" customWidth="1"/>
    <col min="6896" max="6896" width="9.42578125" style="92" customWidth="1"/>
    <col min="6897" max="6897" width="6.7109375" style="92" customWidth="1"/>
    <col min="6898" max="6898" width="8.140625" style="92" customWidth="1"/>
    <col min="6899" max="6899" width="10.42578125" style="92" customWidth="1"/>
    <col min="6900" max="6900" width="8.42578125" style="92" customWidth="1"/>
    <col min="6901" max="6901" width="9.7109375" style="92" customWidth="1"/>
    <col min="6902" max="6902" width="9.42578125" style="92" customWidth="1"/>
    <col min="6903" max="6903" width="7.42578125" style="92" customWidth="1"/>
    <col min="6904" max="6904" width="8.42578125" style="92" customWidth="1"/>
    <col min="6905" max="6906" width="8.28515625" style="92" customWidth="1"/>
    <col min="6907" max="6907" width="11.42578125" style="92" customWidth="1"/>
    <col min="6908" max="6908" width="10.42578125" style="92" customWidth="1"/>
    <col min="6909" max="6909" width="9.7109375" style="92" customWidth="1"/>
    <col min="6910" max="6910" width="9.140625" style="92" customWidth="1"/>
    <col min="6911" max="6911" width="9.42578125" style="92" customWidth="1"/>
    <col min="6912" max="6912" width="7.42578125" style="92" customWidth="1"/>
    <col min="6913" max="6913" width="8.42578125" style="92" customWidth="1"/>
    <col min="6914" max="6914" width="8.28515625" style="92" customWidth="1"/>
    <col min="6915" max="6915" width="11.42578125" style="92" customWidth="1"/>
    <col min="6916" max="6928" width="8" style="92" customWidth="1"/>
    <col min="6929" max="6929" width="9.42578125" style="92" customWidth="1"/>
    <col min="6930" max="6930" width="6.7109375" style="92" customWidth="1"/>
    <col min="6931" max="6933" width="8.28515625" style="92" customWidth="1"/>
    <col min="6934" max="6934" width="8.7109375" style="92" customWidth="1"/>
    <col min="6935" max="6935" width="6.7109375" style="92" customWidth="1"/>
    <col min="6936" max="7138" width="8.7109375" style="92"/>
    <col min="7139" max="7139" width="5.140625" style="92" customWidth="1"/>
    <col min="7140" max="7140" width="24" style="92" customWidth="1"/>
    <col min="7141" max="7141" width="7.7109375" style="92" customWidth="1"/>
    <col min="7142" max="7142" width="8.7109375" style="92" customWidth="1"/>
    <col min="7143" max="7143" width="8.42578125" style="92" customWidth="1"/>
    <col min="7144" max="7144" width="9.42578125" style="92" customWidth="1"/>
    <col min="7145" max="7145" width="10.140625" style="92" customWidth="1"/>
    <col min="7146" max="7146" width="7.7109375" style="92" customWidth="1"/>
    <col min="7147" max="7148" width="9.42578125" style="92" customWidth="1"/>
    <col min="7149" max="7150" width="9.7109375" style="92" customWidth="1"/>
    <col min="7151" max="7151" width="8.7109375" style="92" customWidth="1"/>
    <col min="7152" max="7152" width="9.42578125" style="92" customWidth="1"/>
    <col min="7153" max="7153" width="6.7109375" style="92" customWidth="1"/>
    <col min="7154" max="7154" width="8.140625" style="92" customWidth="1"/>
    <col min="7155" max="7155" width="10.42578125" style="92" customWidth="1"/>
    <col min="7156" max="7156" width="8.42578125" style="92" customWidth="1"/>
    <col min="7157" max="7157" width="9.7109375" style="92" customWidth="1"/>
    <col min="7158" max="7158" width="9.42578125" style="92" customWidth="1"/>
    <col min="7159" max="7159" width="7.42578125" style="92" customWidth="1"/>
    <col min="7160" max="7160" width="8.42578125" style="92" customWidth="1"/>
    <col min="7161" max="7162" width="8.28515625" style="92" customWidth="1"/>
    <col min="7163" max="7163" width="11.42578125" style="92" customWidth="1"/>
    <col min="7164" max="7164" width="10.42578125" style="92" customWidth="1"/>
    <col min="7165" max="7165" width="9.7109375" style="92" customWidth="1"/>
    <col min="7166" max="7166" width="9.140625" style="92" customWidth="1"/>
    <col min="7167" max="7167" width="9.42578125" style="92" customWidth="1"/>
    <col min="7168" max="7168" width="7.42578125" style="92" customWidth="1"/>
    <col min="7169" max="7169" width="8.42578125" style="92" customWidth="1"/>
    <col min="7170" max="7170" width="8.28515625" style="92" customWidth="1"/>
    <col min="7171" max="7171" width="11.42578125" style="92" customWidth="1"/>
    <col min="7172" max="7184" width="8" style="92" customWidth="1"/>
    <col min="7185" max="7185" width="9.42578125" style="92" customWidth="1"/>
    <col min="7186" max="7186" width="6.7109375" style="92" customWidth="1"/>
    <col min="7187" max="7189" width="8.28515625" style="92" customWidth="1"/>
    <col min="7190" max="7190" width="8.7109375" style="92" customWidth="1"/>
    <col min="7191" max="7191" width="6.7109375" style="92" customWidth="1"/>
    <col min="7192" max="7394" width="8.7109375" style="92"/>
    <col min="7395" max="7395" width="5.140625" style="92" customWidth="1"/>
    <col min="7396" max="7396" width="24" style="92" customWidth="1"/>
    <col min="7397" max="7397" width="7.7109375" style="92" customWidth="1"/>
    <col min="7398" max="7398" width="8.7109375" style="92" customWidth="1"/>
    <col min="7399" max="7399" width="8.42578125" style="92" customWidth="1"/>
    <col min="7400" max="7400" width="9.42578125" style="92" customWidth="1"/>
    <col min="7401" max="7401" width="10.140625" style="92" customWidth="1"/>
    <col min="7402" max="7402" width="7.7109375" style="92" customWidth="1"/>
    <col min="7403" max="7404" width="9.42578125" style="92" customWidth="1"/>
    <col min="7405" max="7406" width="9.7109375" style="92" customWidth="1"/>
    <col min="7407" max="7407" width="8.7109375" style="92" customWidth="1"/>
    <col min="7408" max="7408" width="9.42578125" style="92" customWidth="1"/>
    <col min="7409" max="7409" width="6.7109375" style="92" customWidth="1"/>
    <col min="7410" max="7410" width="8.140625" style="92" customWidth="1"/>
    <col min="7411" max="7411" width="10.42578125" style="92" customWidth="1"/>
    <col min="7412" max="7412" width="8.42578125" style="92" customWidth="1"/>
    <col min="7413" max="7413" width="9.7109375" style="92" customWidth="1"/>
    <col min="7414" max="7414" width="9.42578125" style="92" customWidth="1"/>
    <col min="7415" max="7415" width="7.42578125" style="92" customWidth="1"/>
    <col min="7416" max="7416" width="8.42578125" style="92" customWidth="1"/>
    <col min="7417" max="7418" width="8.28515625" style="92" customWidth="1"/>
    <col min="7419" max="7419" width="11.42578125" style="92" customWidth="1"/>
    <col min="7420" max="7420" width="10.42578125" style="92" customWidth="1"/>
    <col min="7421" max="7421" width="9.7109375" style="92" customWidth="1"/>
    <col min="7422" max="7422" width="9.140625" style="92" customWidth="1"/>
    <col min="7423" max="7423" width="9.42578125" style="92" customWidth="1"/>
    <col min="7424" max="7424" width="7.42578125" style="92" customWidth="1"/>
    <col min="7425" max="7425" width="8.42578125" style="92" customWidth="1"/>
    <col min="7426" max="7426" width="8.28515625" style="92" customWidth="1"/>
    <col min="7427" max="7427" width="11.42578125" style="92" customWidth="1"/>
    <col min="7428" max="7440" width="8" style="92" customWidth="1"/>
    <col min="7441" max="7441" width="9.42578125" style="92" customWidth="1"/>
    <col min="7442" max="7442" width="6.7109375" style="92" customWidth="1"/>
    <col min="7443" max="7445" width="8.28515625" style="92" customWidth="1"/>
    <col min="7446" max="7446" width="8.7109375" style="92" customWidth="1"/>
    <col min="7447" max="7447" width="6.7109375" style="92" customWidth="1"/>
    <col min="7448" max="7650" width="8.7109375" style="92"/>
    <col min="7651" max="7651" width="5.140625" style="92" customWidth="1"/>
    <col min="7652" max="7652" width="24" style="92" customWidth="1"/>
    <col min="7653" max="7653" width="7.7109375" style="92" customWidth="1"/>
    <col min="7654" max="7654" width="8.7109375" style="92" customWidth="1"/>
    <col min="7655" max="7655" width="8.42578125" style="92" customWidth="1"/>
    <col min="7656" max="7656" width="9.42578125" style="92" customWidth="1"/>
    <col min="7657" max="7657" width="10.140625" style="92" customWidth="1"/>
    <col min="7658" max="7658" width="7.7109375" style="92" customWidth="1"/>
    <col min="7659" max="7660" width="9.42578125" style="92" customWidth="1"/>
    <col min="7661" max="7662" width="9.7109375" style="92" customWidth="1"/>
    <col min="7663" max="7663" width="8.7109375" style="92" customWidth="1"/>
    <col min="7664" max="7664" width="9.42578125" style="92" customWidth="1"/>
    <col min="7665" max="7665" width="6.7109375" style="92" customWidth="1"/>
    <col min="7666" max="7666" width="8.140625" style="92" customWidth="1"/>
    <col min="7667" max="7667" width="10.42578125" style="92" customWidth="1"/>
    <col min="7668" max="7668" width="8.42578125" style="92" customWidth="1"/>
    <col min="7669" max="7669" width="9.7109375" style="92" customWidth="1"/>
    <col min="7670" max="7670" width="9.42578125" style="92" customWidth="1"/>
    <col min="7671" max="7671" width="7.42578125" style="92" customWidth="1"/>
    <col min="7672" max="7672" width="8.42578125" style="92" customWidth="1"/>
    <col min="7673" max="7674" width="8.28515625" style="92" customWidth="1"/>
    <col min="7675" max="7675" width="11.42578125" style="92" customWidth="1"/>
    <col min="7676" max="7676" width="10.42578125" style="92" customWidth="1"/>
    <col min="7677" max="7677" width="9.7109375" style="92" customWidth="1"/>
    <col min="7678" max="7678" width="9.140625" style="92" customWidth="1"/>
    <col min="7679" max="7679" width="9.42578125" style="92" customWidth="1"/>
    <col min="7680" max="7680" width="7.42578125" style="92" customWidth="1"/>
    <col min="7681" max="7681" width="8.42578125" style="92" customWidth="1"/>
    <col min="7682" max="7682" width="8.28515625" style="92" customWidth="1"/>
    <col min="7683" max="7683" width="11.42578125" style="92" customWidth="1"/>
    <col min="7684" max="7696" width="8" style="92" customWidth="1"/>
    <col min="7697" max="7697" width="9.42578125" style="92" customWidth="1"/>
    <col min="7698" max="7698" width="6.7109375" style="92" customWidth="1"/>
    <col min="7699" max="7701" width="8.28515625" style="92" customWidth="1"/>
    <col min="7702" max="7702" width="8.7109375" style="92" customWidth="1"/>
    <col min="7703" max="7703" width="6.7109375" style="92" customWidth="1"/>
    <col min="7704" max="7906" width="8.7109375" style="92"/>
    <col min="7907" max="7907" width="5.140625" style="92" customWidth="1"/>
    <col min="7908" max="7908" width="24" style="92" customWidth="1"/>
    <col min="7909" max="7909" width="7.7109375" style="92" customWidth="1"/>
    <col min="7910" max="7910" width="8.7109375" style="92" customWidth="1"/>
    <col min="7911" max="7911" width="8.42578125" style="92" customWidth="1"/>
    <col min="7912" max="7912" width="9.42578125" style="92" customWidth="1"/>
    <col min="7913" max="7913" width="10.140625" style="92" customWidth="1"/>
    <col min="7914" max="7914" width="7.7109375" style="92" customWidth="1"/>
    <col min="7915" max="7916" width="9.42578125" style="92" customWidth="1"/>
    <col min="7917" max="7918" width="9.7109375" style="92" customWidth="1"/>
    <col min="7919" max="7919" width="8.7109375" style="92" customWidth="1"/>
    <col min="7920" max="7920" width="9.42578125" style="92" customWidth="1"/>
    <col min="7921" max="7921" width="6.7109375" style="92" customWidth="1"/>
    <col min="7922" max="7922" width="8.140625" style="92" customWidth="1"/>
    <col min="7923" max="7923" width="10.42578125" style="92" customWidth="1"/>
    <col min="7924" max="7924" width="8.42578125" style="92" customWidth="1"/>
    <col min="7925" max="7925" width="9.7109375" style="92" customWidth="1"/>
    <col min="7926" max="7926" width="9.42578125" style="92" customWidth="1"/>
    <col min="7927" max="7927" width="7.42578125" style="92" customWidth="1"/>
    <col min="7928" max="7928" width="8.42578125" style="92" customWidth="1"/>
    <col min="7929" max="7930" width="8.28515625" style="92" customWidth="1"/>
    <col min="7931" max="7931" width="11.42578125" style="92" customWidth="1"/>
    <col min="7932" max="7932" width="10.42578125" style="92" customWidth="1"/>
    <col min="7933" max="7933" width="9.7109375" style="92" customWidth="1"/>
    <col min="7934" max="7934" width="9.140625" style="92" customWidth="1"/>
    <col min="7935" max="7935" width="9.42578125" style="92" customWidth="1"/>
    <col min="7936" max="7936" width="7.42578125" style="92" customWidth="1"/>
    <col min="7937" max="7937" width="8.42578125" style="92" customWidth="1"/>
    <col min="7938" max="7938" width="8.28515625" style="92" customWidth="1"/>
    <col min="7939" max="7939" width="11.42578125" style="92" customWidth="1"/>
    <col min="7940" max="7952" width="8" style="92" customWidth="1"/>
    <col min="7953" max="7953" width="9.42578125" style="92" customWidth="1"/>
    <col min="7954" max="7954" width="6.7109375" style="92" customWidth="1"/>
    <col min="7955" max="7957" width="8.28515625" style="92" customWidth="1"/>
    <col min="7958" max="7958" width="8.7109375" style="92" customWidth="1"/>
    <col min="7959" max="7959" width="6.7109375" style="92" customWidth="1"/>
    <col min="7960" max="8162" width="8.7109375" style="92"/>
    <col min="8163" max="8163" width="5.140625" style="92" customWidth="1"/>
    <col min="8164" max="8164" width="24" style="92" customWidth="1"/>
    <col min="8165" max="8165" width="7.7109375" style="92" customWidth="1"/>
    <col min="8166" max="8166" width="8.7109375" style="92" customWidth="1"/>
    <col min="8167" max="8167" width="8.42578125" style="92" customWidth="1"/>
    <col min="8168" max="8168" width="9.42578125" style="92" customWidth="1"/>
    <col min="8169" max="8169" width="10.140625" style="92" customWidth="1"/>
    <col min="8170" max="8170" width="7.7109375" style="92" customWidth="1"/>
    <col min="8171" max="8172" width="9.42578125" style="92" customWidth="1"/>
    <col min="8173" max="8174" width="9.7109375" style="92" customWidth="1"/>
    <col min="8175" max="8175" width="8.7109375" style="92" customWidth="1"/>
    <col min="8176" max="8176" width="9.42578125" style="92" customWidth="1"/>
    <col min="8177" max="8177" width="6.7109375" style="92" customWidth="1"/>
    <col min="8178" max="8178" width="8.140625" style="92" customWidth="1"/>
    <col min="8179" max="8179" width="10.42578125" style="92" customWidth="1"/>
    <col min="8180" max="8180" width="8.42578125" style="92" customWidth="1"/>
    <col min="8181" max="8181" width="9.7109375" style="92" customWidth="1"/>
    <col min="8182" max="8182" width="9.42578125" style="92" customWidth="1"/>
    <col min="8183" max="8183" width="7.42578125" style="92" customWidth="1"/>
    <col min="8184" max="8184" width="8.42578125" style="92" customWidth="1"/>
    <col min="8185" max="8186" width="8.28515625" style="92" customWidth="1"/>
    <col min="8187" max="8187" width="11.42578125" style="92" customWidth="1"/>
    <col min="8188" max="8188" width="10.42578125" style="92" customWidth="1"/>
    <col min="8189" max="8189" width="9.7109375" style="92" customWidth="1"/>
    <col min="8190" max="8190" width="9.140625" style="92" customWidth="1"/>
    <col min="8191" max="8191" width="9.42578125" style="92" customWidth="1"/>
    <col min="8192" max="8192" width="7.42578125" style="92" customWidth="1"/>
    <col min="8193" max="8193" width="8.42578125" style="92" customWidth="1"/>
    <col min="8194" max="8194" width="8.28515625" style="92" customWidth="1"/>
    <col min="8195" max="8195" width="11.42578125" style="92" customWidth="1"/>
    <col min="8196" max="8208" width="8" style="92" customWidth="1"/>
    <col min="8209" max="8209" width="9.42578125" style="92" customWidth="1"/>
    <col min="8210" max="8210" width="6.7109375" style="92" customWidth="1"/>
    <col min="8211" max="8213" width="8.28515625" style="92" customWidth="1"/>
    <col min="8214" max="8214" width="8.7109375" style="92" customWidth="1"/>
    <col min="8215" max="8215" width="6.7109375" style="92" customWidth="1"/>
    <col min="8216" max="8418" width="8.7109375" style="92"/>
    <col min="8419" max="8419" width="5.140625" style="92" customWidth="1"/>
    <col min="8420" max="8420" width="24" style="92" customWidth="1"/>
    <col min="8421" max="8421" width="7.7109375" style="92" customWidth="1"/>
    <col min="8422" max="8422" width="8.7109375" style="92" customWidth="1"/>
    <col min="8423" max="8423" width="8.42578125" style="92" customWidth="1"/>
    <col min="8424" max="8424" width="9.42578125" style="92" customWidth="1"/>
    <col min="8425" max="8425" width="10.140625" style="92" customWidth="1"/>
    <col min="8426" max="8426" width="7.7109375" style="92" customWidth="1"/>
    <col min="8427" max="8428" width="9.42578125" style="92" customWidth="1"/>
    <col min="8429" max="8430" width="9.7109375" style="92" customWidth="1"/>
    <col min="8431" max="8431" width="8.7109375" style="92" customWidth="1"/>
    <col min="8432" max="8432" width="9.42578125" style="92" customWidth="1"/>
    <col min="8433" max="8433" width="6.7109375" style="92" customWidth="1"/>
    <col min="8434" max="8434" width="8.140625" style="92" customWidth="1"/>
    <col min="8435" max="8435" width="10.42578125" style="92" customWidth="1"/>
    <col min="8436" max="8436" width="8.42578125" style="92" customWidth="1"/>
    <col min="8437" max="8437" width="9.7109375" style="92" customWidth="1"/>
    <col min="8438" max="8438" width="9.42578125" style="92" customWidth="1"/>
    <col min="8439" max="8439" width="7.42578125" style="92" customWidth="1"/>
    <col min="8440" max="8440" width="8.42578125" style="92" customWidth="1"/>
    <col min="8441" max="8442" width="8.28515625" style="92" customWidth="1"/>
    <col min="8443" max="8443" width="11.42578125" style="92" customWidth="1"/>
    <col min="8444" max="8444" width="10.42578125" style="92" customWidth="1"/>
    <col min="8445" max="8445" width="9.7109375" style="92" customWidth="1"/>
    <col min="8446" max="8446" width="9.140625" style="92" customWidth="1"/>
    <col min="8447" max="8447" width="9.42578125" style="92" customWidth="1"/>
    <col min="8448" max="8448" width="7.42578125" style="92" customWidth="1"/>
    <col min="8449" max="8449" width="8.42578125" style="92" customWidth="1"/>
    <col min="8450" max="8450" width="8.28515625" style="92" customWidth="1"/>
    <col min="8451" max="8451" width="11.42578125" style="92" customWidth="1"/>
    <col min="8452" max="8464" width="8" style="92" customWidth="1"/>
    <col min="8465" max="8465" width="9.42578125" style="92" customWidth="1"/>
    <col min="8466" max="8466" width="6.7109375" style="92" customWidth="1"/>
    <col min="8467" max="8469" width="8.28515625" style="92" customWidth="1"/>
    <col min="8470" max="8470" width="8.7109375" style="92" customWidth="1"/>
    <col min="8471" max="8471" width="6.7109375" style="92" customWidth="1"/>
    <col min="8472" max="8674" width="8.7109375" style="92"/>
    <col min="8675" max="8675" width="5.140625" style="92" customWidth="1"/>
    <col min="8676" max="8676" width="24" style="92" customWidth="1"/>
    <col min="8677" max="8677" width="7.7109375" style="92" customWidth="1"/>
    <col min="8678" max="8678" width="8.7109375" style="92" customWidth="1"/>
    <col min="8679" max="8679" width="8.42578125" style="92" customWidth="1"/>
    <col min="8680" max="8680" width="9.42578125" style="92" customWidth="1"/>
    <col min="8681" max="8681" width="10.140625" style="92" customWidth="1"/>
    <col min="8682" max="8682" width="7.7109375" style="92" customWidth="1"/>
    <col min="8683" max="8684" width="9.42578125" style="92" customWidth="1"/>
    <col min="8685" max="8686" width="9.7109375" style="92" customWidth="1"/>
    <col min="8687" max="8687" width="8.7109375" style="92" customWidth="1"/>
    <col min="8688" max="8688" width="9.42578125" style="92" customWidth="1"/>
    <col min="8689" max="8689" width="6.7109375" style="92" customWidth="1"/>
    <col min="8690" max="8690" width="8.140625" style="92" customWidth="1"/>
    <col min="8691" max="8691" width="10.42578125" style="92" customWidth="1"/>
    <col min="8692" max="8692" width="8.42578125" style="92" customWidth="1"/>
    <col min="8693" max="8693" width="9.7109375" style="92" customWidth="1"/>
    <col min="8694" max="8694" width="9.42578125" style="92" customWidth="1"/>
    <col min="8695" max="8695" width="7.42578125" style="92" customWidth="1"/>
    <col min="8696" max="8696" width="8.42578125" style="92" customWidth="1"/>
    <col min="8697" max="8698" width="8.28515625" style="92" customWidth="1"/>
    <col min="8699" max="8699" width="11.42578125" style="92" customWidth="1"/>
    <col min="8700" max="8700" width="10.42578125" style="92" customWidth="1"/>
    <col min="8701" max="8701" width="9.7109375" style="92" customWidth="1"/>
    <col min="8702" max="8702" width="9.140625" style="92" customWidth="1"/>
    <col min="8703" max="8703" width="9.42578125" style="92" customWidth="1"/>
    <col min="8704" max="8704" width="7.42578125" style="92" customWidth="1"/>
    <col min="8705" max="8705" width="8.42578125" style="92" customWidth="1"/>
    <col min="8706" max="8706" width="8.28515625" style="92" customWidth="1"/>
    <col min="8707" max="8707" width="11.42578125" style="92" customWidth="1"/>
    <col min="8708" max="8720" width="8" style="92" customWidth="1"/>
    <col min="8721" max="8721" width="9.42578125" style="92" customWidth="1"/>
    <col min="8722" max="8722" width="6.7109375" style="92" customWidth="1"/>
    <col min="8723" max="8725" width="8.28515625" style="92" customWidth="1"/>
    <col min="8726" max="8726" width="8.7109375" style="92" customWidth="1"/>
    <col min="8727" max="8727" width="6.7109375" style="92" customWidth="1"/>
    <col min="8728" max="8930" width="8.7109375" style="92"/>
    <col min="8931" max="8931" width="5.140625" style="92" customWidth="1"/>
    <col min="8932" max="8932" width="24" style="92" customWidth="1"/>
    <col min="8933" max="8933" width="7.7109375" style="92" customWidth="1"/>
    <col min="8934" max="8934" width="8.7109375" style="92" customWidth="1"/>
    <col min="8935" max="8935" width="8.42578125" style="92" customWidth="1"/>
    <col min="8936" max="8936" width="9.42578125" style="92" customWidth="1"/>
    <col min="8937" max="8937" width="10.140625" style="92" customWidth="1"/>
    <col min="8938" max="8938" width="7.7109375" style="92" customWidth="1"/>
    <col min="8939" max="8940" width="9.42578125" style="92" customWidth="1"/>
    <col min="8941" max="8942" width="9.7109375" style="92" customWidth="1"/>
    <col min="8943" max="8943" width="8.7109375" style="92" customWidth="1"/>
    <col min="8944" max="8944" width="9.42578125" style="92" customWidth="1"/>
    <col min="8945" max="8945" width="6.7109375" style="92" customWidth="1"/>
    <col min="8946" max="8946" width="8.140625" style="92" customWidth="1"/>
    <col min="8947" max="8947" width="10.42578125" style="92" customWidth="1"/>
    <col min="8948" max="8948" width="8.42578125" style="92" customWidth="1"/>
    <col min="8949" max="8949" width="9.7109375" style="92" customWidth="1"/>
    <col min="8950" max="8950" width="9.42578125" style="92" customWidth="1"/>
    <col min="8951" max="8951" width="7.42578125" style="92" customWidth="1"/>
    <col min="8952" max="8952" width="8.42578125" style="92" customWidth="1"/>
    <col min="8953" max="8954" width="8.28515625" style="92" customWidth="1"/>
    <col min="8955" max="8955" width="11.42578125" style="92" customWidth="1"/>
    <col min="8956" max="8956" width="10.42578125" style="92" customWidth="1"/>
    <col min="8957" max="8957" width="9.7109375" style="92" customWidth="1"/>
    <col min="8958" max="8958" width="9.140625" style="92" customWidth="1"/>
    <col min="8959" max="8959" width="9.42578125" style="92" customWidth="1"/>
    <col min="8960" max="8960" width="7.42578125" style="92" customWidth="1"/>
    <col min="8961" max="8961" width="8.42578125" style="92" customWidth="1"/>
    <col min="8962" max="8962" width="8.28515625" style="92" customWidth="1"/>
    <col min="8963" max="8963" width="11.42578125" style="92" customWidth="1"/>
    <col min="8964" max="8976" width="8" style="92" customWidth="1"/>
    <col min="8977" max="8977" width="9.42578125" style="92" customWidth="1"/>
    <col min="8978" max="8978" width="6.7109375" style="92" customWidth="1"/>
    <col min="8979" max="8981" width="8.28515625" style="92" customWidth="1"/>
    <col min="8982" max="8982" width="8.7109375" style="92" customWidth="1"/>
    <col min="8983" max="8983" width="6.7109375" style="92" customWidth="1"/>
    <col min="8984" max="9186" width="8.7109375" style="92"/>
    <col min="9187" max="9187" width="5.140625" style="92" customWidth="1"/>
    <col min="9188" max="9188" width="24" style="92" customWidth="1"/>
    <col min="9189" max="9189" width="7.7109375" style="92" customWidth="1"/>
    <col min="9190" max="9190" width="8.7109375" style="92" customWidth="1"/>
    <col min="9191" max="9191" width="8.42578125" style="92" customWidth="1"/>
    <col min="9192" max="9192" width="9.42578125" style="92" customWidth="1"/>
    <col min="9193" max="9193" width="10.140625" style="92" customWidth="1"/>
    <col min="9194" max="9194" width="7.7109375" style="92" customWidth="1"/>
    <col min="9195" max="9196" width="9.42578125" style="92" customWidth="1"/>
    <col min="9197" max="9198" width="9.7109375" style="92" customWidth="1"/>
    <col min="9199" max="9199" width="8.7109375" style="92" customWidth="1"/>
    <col min="9200" max="9200" width="9.42578125" style="92" customWidth="1"/>
    <col min="9201" max="9201" width="6.7109375" style="92" customWidth="1"/>
    <col min="9202" max="9202" width="8.140625" style="92" customWidth="1"/>
    <col min="9203" max="9203" width="10.42578125" style="92" customWidth="1"/>
    <col min="9204" max="9204" width="8.42578125" style="92" customWidth="1"/>
    <col min="9205" max="9205" width="9.7109375" style="92" customWidth="1"/>
    <col min="9206" max="9206" width="9.42578125" style="92" customWidth="1"/>
    <col min="9207" max="9207" width="7.42578125" style="92" customWidth="1"/>
    <col min="9208" max="9208" width="8.42578125" style="92" customWidth="1"/>
    <col min="9209" max="9210" width="8.28515625" style="92" customWidth="1"/>
    <col min="9211" max="9211" width="11.42578125" style="92" customWidth="1"/>
    <col min="9212" max="9212" width="10.42578125" style="92" customWidth="1"/>
    <col min="9213" max="9213" width="9.7109375" style="92" customWidth="1"/>
    <col min="9214" max="9214" width="9.140625" style="92" customWidth="1"/>
    <col min="9215" max="9215" width="9.42578125" style="92" customWidth="1"/>
    <col min="9216" max="9216" width="7.42578125" style="92" customWidth="1"/>
    <col min="9217" max="9217" width="8.42578125" style="92" customWidth="1"/>
    <col min="9218" max="9218" width="8.28515625" style="92" customWidth="1"/>
    <col min="9219" max="9219" width="11.42578125" style="92" customWidth="1"/>
    <col min="9220" max="9232" width="8" style="92" customWidth="1"/>
    <col min="9233" max="9233" width="9.42578125" style="92" customWidth="1"/>
    <col min="9234" max="9234" width="6.7109375" style="92" customWidth="1"/>
    <col min="9235" max="9237" width="8.28515625" style="92" customWidth="1"/>
    <col min="9238" max="9238" width="8.7109375" style="92" customWidth="1"/>
    <col min="9239" max="9239" width="6.7109375" style="92" customWidth="1"/>
    <col min="9240" max="9442" width="8.7109375" style="92"/>
    <col min="9443" max="9443" width="5.140625" style="92" customWidth="1"/>
    <col min="9444" max="9444" width="24" style="92" customWidth="1"/>
    <col min="9445" max="9445" width="7.7109375" style="92" customWidth="1"/>
    <col min="9446" max="9446" width="8.7109375" style="92" customWidth="1"/>
    <col min="9447" max="9447" width="8.42578125" style="92" customWidth="1"/>
    <col min="9448" max="9448" width="9.42578125" style="92" customWidth="1"/>
    <col min="9449" max="9449" width="10.140625" style="92" customWidth="1"/>
    <col min="9450" max="9450" width="7.7109375" style="92" customWidth="1"/>
    <col min="9451" max="9452" width="9.42578125" style="92" customWidth="1"/>
    <col min="9453" max="9454" width="9.7109375" style="92" customWidth="1"/>
    <col min="9455" max="9455" width="8.7109375" style="92" customWidth="1"/>
    <col min="9456" max="9456" width="9.42578125" style="92" customWidth="1"/>
    <col min="9457" max="9457" width="6.7109375" style="92" customWidth="1"/>
    <col min="9458" max="9458" width="8.140625" style="92" customWidth="1"/>
    <col min="9459" max="9459" width="10.42578125" style="92" customWidth="1"/>
    <col min="9460" max="9460" width="8.42578125" style="92" customWidth="1"/>
    <col min="9461" max="9461" width="9.7109375" style="92" customWidth="1"/>
    <col min="9462" max="9462" width="9.42578125" style="92" customWidth="1"/>
    <col min="9463" max="9463" width="7.42578125" style="92" customWidth="1"/>
    <col min="9464" max="9464" width="8.42578125" style="92" customWidth="1"/>
    <col min="9465" max="9466" width="8.28515625" style="92" customWidth="1"/>
    <col min="9467" max="9467" width="11.42578125" style="92" customWidth="1"/>
    <col min="9468" max="9468" width="10.42578125" style="92" customWidth="1"/>
    <col min="9469" max="9469" width="9.7109375" style="92" customWidth="1"/>
    <col min="9470" max="9470" width="9.140625" style="92" customWidth="1"/>
    <col min="9471" max="9471" width="9.42578125" style="92" customWidth="1"/>
    <col min="9472" max="9472" width="7.42578125" style="92" customWidth="1"/>
    <col min="9473" max="9473" width="8.42578125" style="92" customWidth="1"/>
    <col min="9474" max="9474" width="8.28515625" style="92" customWidth="1"/>
    <col min="9475" max="9475" width="11.42578125" style="92" customWidth="1"/>
    <col min="9476" max="9488" width="8" style="92" customWidth="1"/>
    <col min="9489" max="9489" width="9.42578125" style="92" customWidth="1"/>
    <col min="9490" max="9490" width="6.7109375" style="92" customWidth="1"/>
    <col min="9491" max="9493" width="8.28515625" style="92" customWidth="1"/>
    <col min="9494" max="9494" width="8.7109375" style="92" customWidth="1"/>
    <col min="9495" max="9495" width="6.7109375" style="92" customWidth="1"/>
    <col min="9496" max="9698" width="8.7109375" style="92"/>
    <col min="9699" max="9699" width="5.140625" style="92" customWidth="1"/>
    <col min="9700" max="9700" width="24" style="92" customWidth="1"/>
    <col min="9701" max="9701" width="7.7109375" style="92" customWidth="1"/>
    <col min="9702" max="9702" width="8.7109375" style="92" customWidth="1"/>
    <col min="9703" max="9703" width="8.42578125" style="92" customWidth="1"/>
    <col min="9704" max="9704" width="9.42578125" style="92" customWidth="1"/>
    <col min="9705" max="9705" width="10.140625" style="92" customWidth="1"/>
    <col min="9706" max="9706" width="7.7109375" style="92" customWidth="1"/>
    <col min="9707" max="9708" width="9.42578125" style="92" customWidth="1"/>
    <col min="9709" max="9710" width="9.7109375" style="92" customWidth="1"/>
    <col min="9711" max="9711" width="8.7109375" style="92" customWidth="1"/>
    <col min="9712" max="9712" width="9.42578125" style="92" customWidth="1"/>
    <col min="9713" max="9713" width="6.7109375" style="92" customWidth="1"/>
    <col min="9714" max="9714" width="8.140625" style="92" customWidth="1"/>
    <col min="9715" max="9715" width="10.42578125" style="92" customWidth="1"/>
    <col min="9716" max="9716" width="8.42578125" style="92" customWidth="1"/>
    <col min="9717" max="9717" width="9.7109375" style="92" customWidth="1"/>
    <col min="9718" max="9718" width="9.42578125" style="92" customWidth="1"/>
    <col min="9719" max="9719" width="7.42578125" style="92" customWidth="1"/>
    <col min="9720" max="9720" width="8.42578125" style="92" customWidth="1"/>
    <col min="9721" max="9722" width="8.28515625" style="92" customWidth="1"/>
    <col min="9723" max="9723" width="11.42578125" style="92" customWidth="1"/>
    <col min="9724" max="9724" width="10.42578125" style="92" customWidth="1"/>
    <col min="9725" max="9725" width="9.7109375" style="92" customWidth="1"/>
    <col min="9726" max="9726" width="9.140625" style="92" customWidth="1"/>
    <col min="9727" max="9727" width="9.42578125" style="92" customWidth="1"/>
    <col min="9728" max="9728" width="7.42578125" style="92" customWidth="1"/>
    <col min="9729" max="9729" width="8.42578125" style="92" customWidth="1"/>
    <col min="9730" max="9730" width="8.28515625" style="92" customWidth="1"/>
    <col min="9731" max="9731" width="11.42578125" style="92" customWidth="1"/>
    <col min="9732" max="9744" width="8" style="92" customWidth="1"/>
    <col min="9745" max="9745" width="9.42578125" style="92" customWidth="1"/>
    <col min="9746" max="9746" width="6.7109375" style="92" customWidth="1"/>
    <col min="9747" max="9749" width="8.28515625" style="92" customWidth="1"/>
    <col min="9750" max="9750" width="8.7109375" style="92" customWidth="1"/>
    <col min="9751" max="9751" width="6.7109375" style="92" customWidth="1"/>
    <col min="9752" max="9954" width="8.7109375" style="92"/>
    <col min="9955" max="9955" width="5.140625" style="92" customWidth="1"/>
    <col min="9956" max="9956" width="24" style="92" customWidth="1"/>
    <col min="9957" max="9957" width="7.7109375" style="92" customWidth="1"/>
    <col min="9958" max="9958" width="8.7109375" style="92" customWidth="1"/>
    <col min="9959" max="9959" width="8.42578125" style="92" customWidth="1"/>
    <col min="9960" max="9960" width="9.42578125" style="92" customWidth="1"/>
    <col min="9961" max="9961" width="10.140625" style="92" customWidth="1"/>
    <col min="9962" max="9962" width="7.7109375" style="92" customWidth="1"/>
    <col min="9963" max="9964" width="9.42578125" style="92" customWidth="1"/>
    <col min="9965" max="9966" width="9.7109375" style="92" customWidth="1"/>
    <col min="9967" max="9967" width="8.7109375" style="92" customWidth="1"/>
    <col min="9968" max="9968" width="9.42578125" style="92" customWidth="1"/>
    <col min="9969" max="9969" width="6.7109375" style="92" customWidth="1"/>
    <col min="9970" max="9970" width="8.140625" style="92" customWidth="1"/>
    <col min="9971" max="9971" width="10.42578125" style="92" customWidth="1"/>
    <col min="9972" max="9972" width="8.42578125" style="92" customWidth="1"/>
    <col min="9973" max="9973" width="9.7109375" style="92" customWidth="1"/>
    <col min="9974" max="9974" width="9.42578125" style="92" customWidth="1"/>
    <col min="9975" max="9975" width="7.42578125" style="92" customWidth="1"/>
    <col min="9976" max="9976" width="8.42578125" style="92" customWidth="1"/>
    <col min="9977" max="9978" width="8.28515625" style="92" customWidth="1"/>
    <col min="9979" max="9979" width="11.42578125" style="92" customWidth="1"/>
    <col min="9980" max="9980" width="10.42578125" style="92" customWidth="1"/>
    <col min="9981" max="9981" width="9.7109375" style="92" customWidth="1"/>
    <col min="9982" max="9982" width="9.140625" style="92" customWidth="1"/>
    <col min="9983" max="9983" width="9.42578125" style="92" customWidth="1"/>
    <col min="9984" max="9984" width="7.42578125" style="92" customWidth="1"/>
    <col min="9985" max="9985" width="8.42578125" style="92" customWidth="1"/>
    <col min="9986" max="9986" width="8.28515625" style="92" customWidth="1"/>
    <col min="9987" max="9987" width="11.42578125" style="92" customWidth="1"/>
    <col min="9988" max="10000" width="8" style="92" customWidth="1"/>
    <col min="10001" max="10001" width="9.42578125" style="92" customWidth="1"/>
    <col min="10002" max="10002" width="6.7109375" style="92" customWidth="1"/>
    <col min="10003" max="10005" width="8.28515625" style="92" customWidth="1"/>
    <col min="10006" max="10006" width="8.7109375" style="92" customWidth="1"/>
    <col min="10007" max="10007" width="6.7109375" style="92" customWidth="1"/>
    <col min="10008" max="10210" width="8.7109375" style="92"/>
    <col min="10211" max="10211" width="5.140625" style="92" customWidth="1"/>
    <col min="10212" max="10212" width="24" style="92" customWidth="1"/>
    <col min="10213" max="10213" width="7.7109375" style="92" customWidth="1"/>
    <col min="10214" max="10214" width="8.7109375" style="92" customWidth="1"/>
    <col min="10215" max="10215" width="8.42578125" style="92" customWidth="1"/>
    <col min="10216" max="10216" width="9.42578125" style="92" customWidth="1"/>
    <col min="10217" max="10217" width="10.140625" style="92" customWidth="1"/>
    <col min="10218" max="10218" width="7.7109375" style="92" customWidth="1"/>
    <col min="10219" max="10220" width="9.42578125" style="92" customWidth="1"/>
    <col min="10221" max="10222" width="9.7109375" style="92" customWidth="1"/>
    <col min="10223" max="10223" width="8.7109375" style="92" customWidth="1"/>
    <col min="10224" max="10224" width="9.42578125" style="92" customWidth="1"/>
    <col min="10225" max="10225" width="6.7109375" style="92" customWidth="1"/>
    <col min="10226" max="10226" width="8.140625" style="92" customWidth="1"/>
    <col min="10227" max="10227" width="10.42578125" style="92" customWidth="1"/>
    <col min="10228" max="10228" width="8.42578125" style="92" customWidth="1"/>
    <col min="10229" max="10229" width="9.7109375" style="92" customWidth="1"/>
    <col min="10230" max="10230" width="9.42578125" style="92" customWidth="1"/>
    <col min="10231" max="10231" width="7.42578125" style="92" customWidth="1"/>
    <col min="10232" max="10232" width="8.42578125" style="92" customWidth="1"/>
    <col min="10233" max="10234" width="8.28515625" style="92" customWidth="1"/>
    <col min="10235" max="10235" width="11.42578125" style="92" customWidth="1"/>
    <col min="10236" max="10236" width="10.42578125" style="92" customWidth="1"/>
    <col min="10237" max="10237" width="9.7109375" style="92" customWidth="1"/>
    <col min="10238" max="10238" width="9.140625" style="92" customWidth="1"/>
    <col min="10239" max="10239" width="9.42578125" style="92" customWidth="1"/>
    <col min="10240" max="10240" width="7.42578125" style="92" customWidth="1"/>
    <col min="10241" max="10241" width="8.42578125" style="92" customWidth="1"/>
    <col min="10242" max="10242" width="8.28515625" style="92" customWidth="1"/>
    <col min="10243" max="10243" width="11.42578125" style="92" customWidth="1"/>
    <col min="10244" max="10256" width="8" style="92" customWidth="1"/>
    <col min="10257" max="10257" width="9.42578125" style="92" customWidth="1"/>
    <col min="10258" max="10258" width="6.7109375" style="92" customWidth="1"/>
    <col min="10259" max="10261" width="8.28515625" style="92" customWidth="1"/>
    <col min="10262" max="10262" width="8.7109375" style="92" customWidth="1"/>
    <col min="10263" max="10263" width="6.7109375" style="92" customWidth="1"/>
    <col min="10264" max="10466" width="8.7109375" style="92"/>
    <col min="10467" max="10467" width="5.140625" style="92" customWidth="1"/>
    <col min="10468" max="10468" width="24" style="92" customWidth="1"/>
    <col min="10469" max="10469" width="7.7109375" style="92" customWidth="1"/>
    <col min="10470" max="10470" width="8.7109375" style="92" customWidth="1"/>
    <col min="10471" max="10471" width="8.42578125" style="92" customWidth="1"/>
    <col min="10472" max="10472" width="9.42578125" style="92" customWidth="1"/>
    <col min="10473" max="10473" width="10.140625" style="92" customWidth="1"/>
    <col min="10474" max="10474" width="7.7109375" style="92" customWidth="1"/>
    <col min="10475" max="10476" width="9.42578125" style="92" customWidth="1"/>
    <col min="10477" max="10478" width="9.7109375" style="92" customWidth="1"/>
    <col min="10479" max="10479" width="8.7109375" style="92" customWidth="1"/>
    <col min="10480" max="10480" width="9.42578125" style="92" customWidth="1"/>
    <col min="10481" max="10481" width="6.7109375" style="92" customWidth="1"/>
    <col min="10482" max="10482" width="8.140625" style="92" customWidth="1"/>
    <col min="10483" max="10483" width="10.42578125" style="92" customWidth="1"/>
    <col min="10484" max="10484" width="8.42578125" style="92" customWidth="1"/>
    <col min="10485" max="10485" width="9.7109375" style="92" customWidth="1"/>
    <col min="10486" max="10486" width="9.42578125" style="92" customWidth="1"/>
    <col min="10487" max="10487" width="7.42578125" style="92" customWidth="1"/>
    <col min="10488" max="10488" width="8.42578125" style="92" customWidth="1"/>
    <col min="10489" max="10490" width="8.28515625" style="92" customWidth="1"/>
    <col min="10491" max="10491" width="11.42578125" style="92" customWidth="1"/>
    <col min="10492" max="10492" width="10.42578125" style="92" customWidth="1"/>
    <col min="10493" max="10493" width="9.7109375" style="92" customWidth="1"/>
    <col min="10494" max="10494" width="9.140625" style="92" customWidth="1"/>
    <col min="10495" max="10495" width="9.42578125" style="92" customWidth="1"/>
    <col min="10496" max="10496" width="7.42578125" style="92" customWidth="1"/>
    <col min="10497" max="10497" width="8.42578125" style="92" customWidth="1"/>
    <col min="10498" max="10498" width="8.28515625" style="92" customWidth="1"/>
    <col min="10499" max="10499" width="11.42578125" style="92" customWidth="1"/>
    <col min="10500" max="10512" width="8" style="92" customWidth="1"/>
    <col min="10513" max="10513" width="9.42578125" style="92" customWidth="1"/>
    <col min="10514" max="10514" width="6.7109375" style="92" customWidth="1"/>
    <col min="10515" max="10517" width="8.28515625" style="92" customWidth="1"/>
    <col min="10518" max="10518" width="8.7109375" style="92" customWidth="1"/>
    <col min="10519" max="10519" width="6.7109375" style="92" customWidth="1"/>
    <col min="10520" max="10722" width="8.7109375" style="92"/>
    <col min="10723" max="10723" width="5.140625" style="92" customWidth="1"/>
    <col min="10724" max="10724" width="24" style="92" customWidth="1"/>
    <col min="10725" max="10725" width="7.7109375" style="92" customWidth="1"/>
    <col min="10726" max="10726" width="8.7109375" style="92" customWidth="1"/>
    <col min="10727" max="10727" width="8.42578125" style="92" customWidth="1"/>
    <col min="10728" max="10728" width="9.42578125" style="92" customWidth="1"/>
    <col min="10729" max="10729" width="10.140625" style="92" customWidth="1"/>
    <col min="10730" max="10730" width="7.7109375" style="92" customWidth="1"/>
    <col min="10731" max="10732" width="9.42578125" style="92" customWidth="1"/>
    <col min="10733" max="10734" width="9.7109375" style="92" customWidth="1"/>
    <col min="10735" max="10735" width="8.7109375" style="92" customWidth="1"/>
    <col min="10736" max="10736" width="9.42578125" style="92" customWidth="1"/>
    <col min="10737" max="10737" width="6.7109375" style="92" customWidth="1"/>
    <col min="10738" max="10738" width="8.140625" style="92" customWidth="1"/>
    <col min="10739" max="10739" width="10.42578125" style="92" customWidth="1"/>
    <col min="10740" max="10740" width="8.42578125" style="92" customWidth="1"/>
    <col min="10741" max="10741" width="9.7109375" style="92" customWidth="1"/>
    <col min="10742" max="10742" width="9.42578125" style="92" customWidth="1"/>
    <col min="10743" max="10743" width="7.42578125" style="92" customWidth="1"/>
    <col min="10744" max="10744" width="8.42578125" style="92" customWidth="1"/>
    <col min="10745" max="10746" width="8.28515625" style="92" customWidth="1"/>
    <col min="10747" max="10747" width="11.42578125" style="92" customWidth="1"/>
    <col min="10748" max="10748" width="10.42578125" style="92" customWidth="1"/>
    <col min="10749" max="10749" width="9.7109375" style="92" customWidth="1"/>
    <col min="10750" max="10750" width="9.140625" style="92" customWidth="1"/>
    <col min="10751" max="10751" width="9.42578125" style="92" customWidth="1"/>
    <col min="10752" max="10752" width="7.42578125" style="92" customWidth="1"/>
    <col min="10753" max="10753" width="8.42578125" style="92" customWidth="1"/>
    <col min="10754" max="10754" width="8.28515625" style="92" customWidth="1"/>
    <col min="10755" max="10755" width="11.42578125" style="92" customWidth="1"/>
    <col min="10756" max="10768" width="8" style="92" customWidth="1"/>
    <col min="10769" max="10769" width="9.42578125" style="92" customWidth="1"/>
    <col min="10770" max="10770" width="6.7109375" style="92" customWidth="1"/>
    <col min="10771" max="10773" width="8.28515625" style="92" customWidth="1"/>
    <col min="10774" max="10774" width="8.7109375" style="92" customWidth="1"/>
    <col min="10775" max="10775" width="6.7109375" style="92" customWidth="1"/>
    <col min="10776" max="10978" width="8.7109375" style="92"/>
    <col min="10979" max="10979" width="5.140625" style="92" customWidth="1"/>
    <col min="10980" max="10980" width="24" style="92" customWidth="1"/>
    <col min="10981" max="10981" width="7.7109375" style="92" customWidth="1"/>
    <col min="10982" max="10982" width="8.7109375" style="92" customWidth="1"/>
    <col min="10983" max="10983" width="8.42578125" style="92" customWidth="1"/>
    <col min="10984" max="10984" width="9.42578125" style="92" customWidth="1"/>
    <col min="10985" max="10985" width="10.140625" style="92" customWidth="1"/>
    <col min="10986" max="10986" width="7.7109375" style="92" customWidth="1"/>
    <col min="10987" max="10988" width="9.42578125" style="92" customWidth="1"/>
    <col min="10989" max="10990" width="9.7109375" style="92" customWidth="1"/>
    <col min="10991" max="10991" width="8.7109375" style="92" customWidth="1"/>
    <col min="10992" max="10992" width="9.42578125" style="92" customWidth="1"/>
    <col min="10993" max="10993" width="6.7109375" style="92" customWidth="1"/>
    <col min="10994" max="10994" width="8.140625" style="92" customWidth="1"/>
    <col min="10995" max="10995" width="10.42578125" style="92" customWidth="1"/>
    <col min="10996" max="10996" width="8.42578125" style="92" customWidth="1"/>
    <col min="10997" max="10997" width="9.7109375" style="92" customWidth="1"/>
    <col min="10998" max="10998" width="9.42578125" style="92" customWidth="1"/>
    <col min="10999" max="10999" width="7.42578125" style="92" customWidth="1"/>
    <col min="11000" max="11000" width="8.42578125" style="92" customWidth="1"/>
    <col min="11001" max="11002" width="8.28515625" style="92" customWidth="1"/>
    <col min="11003" max="11003" width="11.42578125" style="92" customWidth="1"/>
    <col min="11004" max="11004" width="10.42578125" style="92" customWidth="1"/>
    <col min="11005" max="11005" width="9.7109375" style="92" customWidth="1"/>
    <col min="11006" max="11006" width="9.140625" style="92" customWidth="1"/>
    <col min="11007" max="11007" width="9.42578125" style="92" customWidth="1"/>
    <col min="11008" max="11008" width="7.42578125" style="92" customWidth="1"/>
    <col min="11009" max="11009" width="8.42578125" style="92" customWidth="1"/>
    <col min="11010" max="11010" width="8.28515625" style="92" customWidth="1"/>
    <col min="11011" max="11011" width="11.42578125" style="92" customWidth="1"/>
    <col min="11012" max="11024" width="8" style="92" customWidth="1"/>
    <col min="11025" max="11025" width="9.42578125" style="92" customWidth="1"/>
    <col min="11026" max="11026" width="6.7109375" style="92" customWidth="1"/>
    <col min="11027" max="11029" width="8.28515625" style="92" customWidth="1"/>
    <col min="11030" max="11030" width="8.7109375" style="92" customWidth="1"/>
    <col min="11031" max="11031" width="6.7109375" style="92" customWidth="1"/>
    <col min="11032" max="11234" width="8.7109375" style="92"/>
    <col min="11235" max="11235" width="5.140625" style="92" customWidth="1"/>
    <col min="11236" max="11236" width="24" style="92" customWidth="1"/>
    <col min="11237" max="11237" width="7.7109375" style="92" customWidth="1"/>
    <col min="11238" max="11238" width="8.7109375" style="92" customWidth="1"/>
    <col min="11239" max="11239" width="8.42578125" style="92" customWidth="1"/>
    <col min="11240" max="11240" width="9.42578125" style="92" customWidth="1"/>
    <col min="11241" max="11241" width="10.140625" style="92" customWidth="1"/>
    <col min="11242" max="11242" width="7.7109375" style="92" customWidth="1"/>
    <col min="11243" max="11244" width="9.42578125" style="92" customWidth="1"/>
    <col min="11245" max="11246" width="9.7109375" style="92" customWidth="1"/>
    <col min="11247" max="11247" width="8.7109375" style="92" customWidth="1"/>
    <col min="11248" max="11248" width="9.42578125" style="92" customWidth="1"/>
    <col min="11249" max="11249" width="6.7109375" style="92" customWidth="1"/>
    <col min="11250" max="11250" width="8.140625" style="92" customWidth="1"/>
    <col min="11251" max="11251" width="10.42578125" style="92" customWidth="1"/>
    <col min="11252" max="11252" width="8.42578125" style="92" customWidth="1"/>
    <col min="11253" max="11253" width="9.7109375" style="92" customWidth="1"/>
    <col min="11254" max="11254" width="9.42578125" style="92" customWidth="1"/>
    <col min="11255" max="11255" width="7.42578125" style="92" customWidth="1"/>
    <col min="11256" max="11256" width="8.42578125" style="92" customWidth="1"/>
    <col min="11257" max="11258" width="8.28515625" style="92" customWidth="1"/>
    <col min="11259" max="11259" width="11.42578125" style="92" customWidth="1"/>
    <col min="11260" max="11260" width="10.42578125" style="92" customWidth="1"/>
    <col min="11261" max="11261" width="9.7109375" style="92" customWidth="1"/>
    <col min="11262" max="11262" width="9.140625" style="92" customWidth="1"/>
    <col min="11263" max="11263" width="9.42578125" style="92" customWidth="1"/>
    <col min="11264" max="11264" width="7.42578125" style="92" customWidth="1"/>
    <col min="11265" max="11265" width="8.42578125" style="92" customWidth="1"/>
    <col min="11266" max="11266" width="8.28515625" style="92" customWidth="1"/>
    <col min="11267" max="11267" width="11.42578125" style="92" customWidth="1"/>
    <col min="11268" max="11280" width="8" style="92" customWidth="1"/>
    <col min="11281" max="11281" width="9.42578125" style="92" customWidth="1"/>
    <col min="11282" max="11282" width="6.7109375" style="92" customWidth="1"/>
    <col min="11283" max="11285" width="8.28515625" style="92" customWidth="1"/>
    <col min="11286" max="11286" width="8.7109375" style="92" customWidth="1"/>
    <col min="11287" max="11287" width="6.7109375" style="92" customWidth="1"/>
    <col min="11288" max="11490" width="8.7109375" style="92"/>
    <col min="11491" max="11491" width="5.140625" style="92" customWidth="1"/>
    <col min="11492" max="11492" width="24" style="92" customWidth="1"/>
    <col min="11493" max="11493" width="7.7109375" style="92" customWidth="1"/>
    <col min="11494" max="11494" width="8.7109375" style="92" customWidth="1"/>
    <col min="11495" max="11495" width="8.42578125" style="92" customWidth="1"/>
    <col min="11496" max="11496" width="9.42578125" style="92" customWidth="1"/>
    <col min="11497" max="11497" width="10.140625" style="92" customWidth="1"/>
    <col min="11498" max="11498" width="7.7109375" style="92" customWidth="1"/>
    <col min="11499" max="11500" width="9.42578125" style="92" customWidth="1"/>
    <col min="11501" max="11502" width="9.7109375" style="92" customWidth="1"/>
    <col min="11503" max="11503" width="8.7109375" style="92" customWidth="1"/>
    <col min="11504" max="11504" width="9.42578125" style="92" customWidth="1"/>
    <col min="11505" max="11505" width="6.7109375" style="92" customWidth="1"/>
    <col min="11506" max="11506" width="8.140625" style="92" customWidth="1"/>
    <col min="11507" max="11507" width="10.42578125" style="92" customWidth="1"/>
    <col min="11508" max="11508" width="8.42578125" style="92" customWidth="1"/>
    <col min="11509" max="11509" width="9.7109375" style="92" customWidth="1"/>
    <col min="11510" max="11510" width="9.42578125" style="92" customWidth="1"/>
    <col min="11511" max="11511" width="7.42578125" style="92" customWidth="1"/>
    <col min="11512" max="11512" width="8.42578125" style="92" customWidth="1"/>
    <col min="11513" max="11514" width="8.28515625" style="92" customWidth="1"/>
    <col min="11515" max="11515" width="11.42578125" style="92" customWidth="1"/>
    <col min="11516" max="11516" width="10.42578125" style="92" customWidth="1"/>
    <col min="11517" max="11517" width="9.7109375" style="92" customWidth="1"/>
    <col min="11518" max="11518" width="9.140625" style="92" customWidth="1"/>
    <col min="11519" max="11519" width="9.42578125" style="92" customWidth="1"/>
    <col min="11520" max="11520" width="7.42578125" style="92" customWidth="1"/>
    <col min="11521" max="11521" width="8.42578125" style="92" customWidth="1"/>
    <col min="11522" max="11522" width="8.28515625" style="92" customWidth="1"/>
    <col min="11523" max="11523" width="11.42578125" style="92" customWidth="1"/>
    <col min="11524" max="11536" width="8" style="92" customWidth="1"/>
    <col min="11537" max="11537" width="9.42578125" style="92" customWidth="1"/>
    <col min="11538" max="11538" width="6.7109375" style="92" customWidth="1"/>
    <col min="11539" max="11541" width="8.28515625" style="92" customWidth="1"/>
    <col min="11542" max="11542" width="8.7109375" style="92" customWidth="1"/>
    <col min="11543" max="11543" width="6.7109375" style="92" customWidth="1"/>
    <col min="11544" max="11746" width="8.7109375" style="92"/>
    <col min="11747" max="11747" width="5.140625" style="92" customWidth="1"/>
    <col min="11748" max="11748" width="24" style="92" customWidth="1"/>
    <col min="11749" max="11749" width="7.7109375" style="92" customWidth="1"/>
    <col min="11750" max="11750" width="8.7109375" style="92" customWidth="1"/>
    <col min="11751" max="11751" width="8.42578125" style="92" customWidth="1"/>
    <col min="11752" max="11752" width="9.42578125" style="92" customWidth="1"/>
    <col min="11753" max="11753" width="10.140625" style="92" customWidth="1"/>
    <col min="11754" max="11754" width="7.7109375" style="92" customWidth="1"/>
    <col min="11755" max="11756" width="9.42578125" style="92" customWidth="1"/>
    <col min="11757" max="11758" width="9.7109375" style="92" customWidth="1"/>
    <col min="11759" max="11759" width="8.7109375" style="92" customWidth="1"/>
    <col min="11760" max="11760" width="9.42578125" style="92" customWidth="1"/>
    <col min="11761" max="11761" width="6.7109375" style="92" customWidth="1"/>
    <col min="11762" max="11762" width="8.140625" style="92" customWidth="1"/>
    <col min="11763" max="11763" width="10.42578125" style="92" customWidth="1"/>
    <col min="11764" max="11764" width="8.42578125" style="92" customWidth="1"/>
    <col min="11765" max="11765" width="9.7109375" style="92" customWidth="1"/>
    <col min="11766" max="11766" width="9.42578125" style="92" customWidth="1"/>
    <col min="11767" max="11767" width="7.42578125" style="92" customWidth="1"/>
    <col min="11768" max="11768" width="8.42578125" style="92" customWidth="1"/>
    <col min="11769" max="11770" width="8.28515625" style="92" customWidth="1"/>
    <col min="11771" max="11771" width="11.42578125" style="92" customWidth="1"/>
    <col min="11772" max="11772" width="10.42578125" style="92" customWidth="1"/>
    <col min="11773" max="11773" width="9.7109375" style="92" customWidth="1"/>
    <col min="11774" max="11774" width="9.140625" style="92" customWidth="1"/>
    <col min="11775" max="11775" width="9.42578125" style="92" customWidth="1"/>
    <col min="11776" max="11776" width="7.42578125" style="92" customWidth="1"/>
    <col min="11777" max="11777" width="8.42578125" style="92" customWidth="1"/>
    <col min="11778" max="11778" width="8.28515625" style="92" customWidth="1"/>
    <col min="11779" max="11779" width="11.42578125" style="92" customWidth="1"/>
    <col min="11780" max="11792" width="8" style="92" customWidth="1"/>
    <col min="11793" max="11793" width="9.42578125" style="92" customWidth="1"/>
    <col min="11794" max="11794" width="6.7109375" style="92" customWidth="1"/>
    <col min="11795" max="11797" width="8.28515625" style="92" customWidth="1"/>
    <col min="11798" max="11798" width="8.7109375" style="92" customWidth="1"/>
    <col min="11799" max="11799" width="6.7109375" style="92" customWidth="1"/>
    <col min="11800" max="12002" width="8.7109375" style="92"/>
    <col min="12003" max="12003" width="5.140625" style="92" customWidth="1"/>
    <col min="12004" max="12004" width="24" style="92" customWidth="1"/>
    <col min="12005" max="12005" width="7.7109375" style="92" customWidth="1"/>
    <col min="12006" max="12006" width="8.7109375" style="92" customWidth="1"/>
    <col min="12007" max="12007" width="8.42578125" style="92" customWidth="1"/>
    <col min="12008" max="12008" width="9.42578125" style="92" customWidth="1"/>
    <col min="12009" max="12009" width="10.140625" style="92" customWidth="1"/>
    <col min="12010" max="12010" width="7.7109375" style="92" customWidth="1"/>
    <col min="12011" max="12012" width="9.42578125" style="92" customWidth="1"/>
    <col min="12013" max="12014" width="9.7109375" style="92" customWidth="1"/>
    <col min="12015" max="12015" width="8.7109375" style="92" customWidth="1"/>
    <col min="12016" max="12016" width="9.42578125" style="92" customWidth="1"/>
    <col min="12017" max="12017" width="6.7109375" style="92" customWidth="1"/>
    <col min="12018" max="12018" width="8.140625" style="92" customWidth="1"/>
    <col min="12019" max="12019" width="10.42578125" style="92" customWidth="1"/>
    <col min="12020" max="12020" width="8.42578125" style="92" customWidth="1"/>
    <col min="12021" max="12021" width="9.7109375" style="92" customWidth="1"/>
    <col min="12022" max="12022" width="9.42578125" style="92" customWidth="1"/>
    <col min="12023" max="12023" width="7.42578125" style="92" customWidth="1"/>
    <col min="12024" max="12024" width="8.42578125" style="92" customWidth="1"/>
    <col min="12025" max="12026" width="8.28515625" style="92" customWidth="1"/>
    <col min="12027" max="12027" width="11.42578125" style="92" customWidth="1"/>
    <col min="12028" max="12028" width="10.42578125" style="92" customWidth="1"/>
    <col min="12029" max="12029" width="9.7109375" style="92" customWidth="1"/>
    <col min="12030" max="12030" width="9.140625" style="92" customWidth="1"/>
    <col min="12031" max="12031" width="9.42578125" style="92" customWidth="1"/>
    <col min="12032" max="12032" width="7.42578125" style="92" customWidth="1"/>
    <col min="12033" max="12033" width="8.42578125" style="92" customWidth="1"/>
    <col min="12034" max="12034" width="8.28515625" style="92" customWidth="1"/>
    <col min="12035" max="12035" width="11.42578125" style="92" customWidth="1"/>
    <col min="12036" max="12048" width="8" style="92" customWidth="1"/>
    <col min="12049" max="12049" width="9.42578125" style="92" customWidth="1"/>
    <col min="12050" max="12050" width="6.7109375" style="92" customWidth="1"/>
    <col min="12051" max="12053" width="8.28515625" style="92" customWidth="1"/>
    <col min="12054" max="12054" width="8.7109375" style="92" customWidth="1"/>
    <col min="12055" max="12055" width="6.7109375" style="92" customWidth="1"/>
    <col min="12056" max="12258" width="8.7109375" style="92"/>
    <col min="12259" max="12259" width="5.140625" style="92" customWidth="1"/>
    <col min="12260" max="12260" width="24" style="92" customWidth="1"/>
    <col min="12261" max="12261" width="7.7109375" style="92" customWidth="1"/>
    <col min="12262" max="12262" width="8.7109375" style="92" customWidth="1"/>
    <col min="12263" max="12263" width="8.42578125" style="92" customWidth="1"/>
    <col min="12264" max="12264" width="9.42578125" style="92" customWidth="1"/>
    <col min="12265" max="12265" width="10.140625" style="92" customWidth="1"/>
    <col min="12266" max="12266" width="7.7109375" style="92" customWidth="1"/>
    <col min="12267" max="12268" width="9.42578125" style="92" customWidth="1"/>
    <col min="12269" max="12270" width="9.7109375" style="92" customWidth="1"/>
    <col min="12271" max="12271" width="8.7109375" style="92" customWidth="1"/>
    <col min="12272" max="12272" width="9.42578125" style="92" customWidth="1"/>
    <col min="12273" max="12273" width="6.7109375" style="92" customWidth="1"/>
    <col min="12274" max="12274" width="8.140625" style="92" customWidth="1"/>
    <col min="12275" max="12275" width="10.42578125" style="92" customWidth="1"/>
    <col min="12276" max="12276" width="8.42578125" style="92" customWidth="1"/>
    <col min="12277" max="12277" width="9.7109375" style="92" customWidth="1"/>
    <col min="12278" max="12278" width="9.42578125" style="92" customWidth="1"/>
    <col min="12279" max="12279" width="7.42578125" style="92" customWidth="1"/>
    <col min="12280" max="12280" width="8.42578125" style="92" customWidth="1"/>
    <col min="12281" max="12282" width="8.28515625" style="92" customWidth="1"/>
    <col min="12283" max="12283" width="11.42578125" style="92" customWidth="1"/>
    <col min="12284" max="12284" width="10.42578125" style="92" customWidth="1"/>
    <col min="12285" max="12285" width="9.7109375" style="92" customWidth="1"/>
    <col min="12286" max="12286" width="9.140625" style="92" customWidth="1"/>
    <col min="12287" max="12287" width="9.42578125" style="92" customWidth="1"/>
    <col min="12288" max="12288" width="7.42578125" style="92" customWidth="1"/>
    <col min="12289" max="12289" width="8.42578125" style="92" customWidth="1"/>
    <col min="12290" max="12290" width="8.28515625" style="92" customWidth="1"/>
    <col min="12291" max="12291" width="11.42578125" style="92" customWidth="1"/>
    <col min="12292" max="12304" width="8" style="92" customWidth="1"/>
    <col min="12305" max="12305" width="9.42578125" style="92" customWidth="1"/>
    <col min="12306" max="12306" width="6.7109375" style="92" customWidth="1"/>
    <col min="12307" max="12309" width="8.28515625" style="92" customWidth="1"/>
    <col min="12310" max="12310" width="8.7109375" style="92" customWidth="1"/>
    <col min="12311" max="12311" width="6.7109375" style="92" customWidth="1"/>
    <col min="12312" max="12514" width="8.7109375" style="92"/>
    <col min="12515" max="12515" width="5.140625" style="92" customWidth="1"/>
    <col min="12516" max="12516" width="24" style="92" customWidth="1"/>
    <col min="12517" max="12517" width="7.7109375" style="92" customWidth="1"/>
    <col min="12518" max="12518" width="8.7109375" style="92" customWidth="1"/>
    <col min="12519" max="12519" width="8.42578125" style="92" customWidth="1"/>
    <col min="12520" max="12520" width="9.42578125" style="92" customWidth="1"/>
    <col min="12521" max="12521" width="10.140625" style="92" customWidth="1"/>
    <col min="12522" max="12522" width="7.7109375" style="92" customWidth="1"/>
    <col min="12523" max="12524" width="9.42578125" style="92" customWidth="1"/>
    <col min="12525" max="12526" width="9.7109375" style="92" customWidth="1"/>
    <col min="12527" max="12527" width="8.7109375" style="92" customWidth="1"/>
    <col min="12528" max="12528" width="9.42578125" style="92" customWidth="1"/>
    <col min="12529" max="12529" width="6.7109375" style="92" customWidth="1"/>
    <col min="12530" max="12530" width="8.140625" style="92" customWidth="1"/>
    <col min="12531" max="12531" width="10.42578125" style="92" customWidth="1"/>
    <col min="12532" max="12532" width="8.42578125" style="92" customWidth="1"/>
    <col min="12533" max="12533" width="9.7109375" style="92" customWidth="1"/>
    <col min="12534" max="12534" width="9.42578125" style="92" customWidth="1"/>
    <col min="12535" max="12535" width="7.42578125" style="92" customWidth="1"/>
    <col min="12536" max="12536" width="8.42578125" style="92" customWidth="1"/>
    <col min="12537" max="12538" width="8.28515625" style="92" customWidth="1"/>
    <col min="12539" max="12539" width="11.42578125" style="92" customWidth="1"/>
    <col min="12540" max="12540" width="10.42578125" style="92" customWidth="1"/>
    <col min="12541" max="12541" width="9.7109375" style="92" customWidth="1"/>
    <col min="12542" max="12542" width="9.140625" style="92" customWidth="1"/>
    <col min="12543" max="12543" width="9.42578125" style="92" customWidth="1"/>
    <col min="12544" max="12544" width="7.42578125" style="92" customWidth="1"/>
    <col min="12545" max="12545" width="8.42578125" style="92" customWidth="1"/>
    <col min="12546" max="12546" width="8.28515625" style="92" customWidth="1"/>
    <col min="12547" max="12547" width="11.42578125" style="92" customWidth="1"/>
    <col min="12548" max="12560" width="8" style="92" customWidth="1"/>
    <col min="12561" max="12561" width="9.42578125" style="92" customWidth="1"/>
    <col min="12562" max="12562" width="6.7109375" style="92" customWidth="1"/>
    <col min="12563" max="12565" width="8.28515625" style="92" customWidth="1"/>
    <col min="12566" max="12566" width="8.7109375" style="92" customWidth="1"/>
    <col min="12567" max="12567" width="6.7109375" style="92" customWidth="1"/>
    <col min="12568" max="12770" width="8.7109375" style="92"/>
    <col min="12771" max="12771" width="5.140625" style="92" customWidth="1"/>
    <col min="12772" max="12772" width="24" style="92" customWidth="1"/>
    <col min="12773" max="12773" width="7.7109375" style="92" customWidth="1"/>
    <col min="12774" max="12774" width="8.7109375" style="92" customWidth="1"/>
    <col min="12775" max="12775" width="8.42578125" style="92" customWidth="1"/>
    <col min="12776" max="12776" width="9.42578125" style="92" customWidth="1"/>
    <col min="12777" max="12777" width="10.140625" style="92" customWidth="1"/>
    <col min="12778" max="12778" width="7.7109375" style="92" customWidth="1"/>
    <col min="12779" max="12780" width="9.42578125" style="92" customWidth="1"/>
    <col min="12781" max="12782" width="9.7109375" style="92" customWidth="1"/>
    <col min="12783" max="12783" width="8.7109375" style="92" customWidth="1"/>
    <col min="12784" max="12784" width="9.42578125" style="92" customWidth="1"/>
    <col min="12785" max="12785" width="6.7109375" style="92" customWidth="1"/>
    <col min="12786" max="12786" width="8.140625" style="92" customWidth="1"/>
    <col min="12787" max="12787" width="10.42578125" style="92" customWidth="1"/>
    <col min="12788" max="12788" width="8.42578125" style="92" customWidth="1"/>
    <col min="12789" max="12789" width="9.7109375" style="92" customWidth="1"/>
    <col min="12790" max="12790" width="9.42578125" style="92" customWidth="1"/>
    <col min="12791" max="12791" width="7.42578125" style="92" customWidth="1"/>
    <col min="12792" max="12792" width="8.42578125" style="92" customWidth="1"/>
    <col min="12793" max="12794" width="8.28515625" style="92" customWidth="1"/>
    <col min="12795" max="12795" width="11.42578125" style="92" customWidth="1"/>
    <col min="12796" max="12796" width="10.42578125" style="92" customWidth="1"/>
    <col min="12797" max="12797" width="9.7109375" style="92" customWidth="1"/>
    <col min="12798" max="12798" width="9.140625" style="92" customWidth="1"/>
    <col min="12799" max="12799" width="9.42578125" style="92" customWidth="1"/>
    <col min="12800" max="12800" width="7.42578125" style="92" customWidth="1"/>
    <col min="12801" max="12801" width="8.42578125" style="92" customWidth="1"/>
    <col min="12802" max="12802" width="8.28515625" style="92" customWidth="1"/>
    <col min="12803" max="12803" width="11.42578125" style="92" customWidth="1"/>
    <col min="12804" max="12816" width="8" style="92" customWidth="1"/>
    <col min="12817" max="12817" width="9.42578125" style="92" customWidth="1"/>
    <col min="12818" max="12818" width="6.7109375" style="92" customWidth="1"/>
    <col min="12819" max="12821" width="8.28515625" style="92" customWidth="1"/>
    <col min="12822" max="12822" width="8.7109375" style="92" customWidth="1"/>
    <col min="12823" max="12823" width="6.7109375" style="92" customWidth="1"/>
    <col min="12824" max="13026" width="8.7109375" style="92"/>
    <col min="13027" max="13027" width="5.140625" style="92" customWidth="1"/>
    <col min="13028" max="13028" width="24" style="92" customWidth="1"/>
    <col min="13029" max="13029" width="7.7109375" style="92" customWidth="1"/>
    <col min="13030" max="13030" width="8.7109375" style="92" customWidth="1"/>
    <col min="13031" max="13031" width="8.42578125" style="92" customWidth="1"/>
    <col min="13032" max="13032" width="9.42578125" style="92" customWidth="1"/>
    <col min="13033" max="13033" width="10.140625" style="92" customWidth="1"/>
    <col min="13034" max="13034" width="7.7109375" style="92" customWidth="1"/>
    <col min="13035" max="13036" width="9.42578125" style="92" customWidth="1"/>
    <col min="13037" max="13038" width="9.7109375" style="92" customWidth="1"/>
    <col min="13039" max="13039" width="8.7109375" style="92" customWidth="1"/>
    <col min="13040" max="13040" width="9.42578125" style="92" customWidth="1"/>
    <col min="13041" max="13041" width="6.7109375" style="92" customWidth="1"/>
    <col min="13042" max="13042" width="8.140625" style="92" customWidth="1"/>
    <col min="13043" max="13043" width="10.42578125" style="92" customWidth="1"/>
    <col min="13044" max="13044" width="8.42578125" style="92" customWidth="1"/>
    <col min="13045" max="13045" width="9.7109375" style="92" customWidth="1"/>
    <col min="13046" max="13046" width="9.42578125" style="92" customWidth="1"/>
    <col min="13047" max="13047" width="7.42578125" style="92" customWidth="1"/>
    <col min="13048" max="13048" width="8.42578125" style="92" customWidth="1"/>
    <col min="13049" max="13050" width="8.28515625" style="92" customWidth="1"/>
    <col min="13051" max="13051" width="11.42578125" style="92" customWidth="1"/>
    <col min="13052" max="13052" width="10.42578125" style="92" customWidth="1"/>
    <col min="13053" max="13053" width="9.7109375" style="92" customWidth="1"/>
    <col min="13054" max="13054" width="9.140625" style="92" customWidth="1"/>
    <col min="13055" max="13055" width="9.42578125" style="92" customWidth="1"/>
    <col min="13056" max="13056" width="7.42578125" style="92" customWidth="1"/>
    <col min="13057" max="13057" width="8.42578125" style="92" customWidth="1"/>
    <col min="13058" max="13058" width="8.28515625" style="92" customWidth="1"/>
    <col min="13059" max="13059" width="11.42578125" style="92" customWidth="1"/>
    <col min="13060" max="13072" width="8" style="92" customWidth="1"/>
    <col min="13073" max="13073" width="9.42578125" style="92" customWidth="1"/>
    <col min="13074" max="13074" width="6.7109375" style="92" customWidth="1"/>
    <col min="13075" max="13077" width="8.28515625" style="92" customWidth="1"/>
    <col min="13078" max="13078" width="8.7109375" style="92" customWidth="1"/>
    <col min="13079" max="13079" width="6.7109375" style="92" customWidth="1"/>
    <col min="13080" max="13282" width="8.7109375" style="92"/>
    <col min="13283" max="13283" width="5.140625" style="92" customWidth="1"/>
    <col min="13284" max="13284" width="24" style="92" customWidth="1"/>
    <col min="13285" max="13285" width="7.7109375" style="92" customWidth="1"/>
    <col min="13286" max="13286" width="8.7109375" style="92" customWidth="1"/>
    <col min="13287" max="13287" width="8.42578125" style="92" customWidth="1"/>
    <col min="13288" max="13288" width="9.42578125" style="92" customWidth="1"/>
    <col min="13289" max="13289" width="10.140625" style="92" customWidth="1"/>
    <col min="13290" max="13290" width="7.7109375" style="92" customWidth="1"/>
    <col min="13291" max="13292" width="9.42578125" style="92" customWidth="1"/>
    <col min="13293" max="13294" width="9.7109375" style="92" customWidth="1"/>
    <col min="13295" max="13295" width="8.7109375" style="92" customWidth="1"/>
    <col min="13296" max="13296" width="9.42578125" style="92" customWidth="1"/>
    <col min="13297" max="13297" width="6.7109375" style="92" customWidth="1"/>
    <col min="13298" max="13298" width="8.140625" style="92" customWidth="1"/>
    <col min="13299" max="13299" width="10.42578125" style="92" customWidth="1"/>
    <col min="13300" max="13300" width="8.42578125" style="92" customWidth="1"/>
    <col min="13301" max="13301" width="9.7109375" style="92" customWidth="1"/>
    <col min="13302" max="13302" width="9.42578125" style="92" customWidth="1"/>
    <col min="13303" max="13303" width="7.42578125" style="92" customWidth="1"/>
    <col min="13304" max="13304" width="8.42578125" style="92" customWidth="1"/>
    <col min="13305" max="13306" width="8.28515625" style="92" customWidth="1"/>
    <col min="13307" max="13307" width="11.42578125" style="92" customWidth="1"/>
    <col min="13308" max="13308" width="10.42578125" style="92" customWidth="1"/>
    <col min="13309" max="13309" width="9.7109375" style="92" customWidth="1"/>
    <col min="13310" max="13310" width="9.140625" style="92" customWidth="1"/>
    <col min="13311" max="13311" width="9.42578125" style="92" customWidth="1"/>
    <col min="13312" max="13312" width="7.42578125" style="92" customWidth="1"/>
    <col min="13313" max="13313" width="8.42578125" style="92" customWidth="1"/>
    <col min="13314" max="13314" width="8.28515625" style="92" customWidth="1"/>
    <col min="13315" max="13315" width="11.42578125" style="92" customWidth="1"/>
    <col min="13316" max="13328" width="8" style="92" customWidth="1"/>
    <col min="13329" max="13329" width="9.42578125" style="92" customWidth="1"/>
    <col min="13330" max="13330" width="6.7109375" style="92" customWidth="1"/>
    <col min="13331" max="13333" width="8.28515625" style="92" customWidth="1"/>
    <col min="13334" max="13334" width="8.7109375" style="92" customWidth="1"/>
    <col min="13335" max="13335" width="6.7109375" style="92" customWidth="1"/>
    <col min="13336" max="13538" width="8.7109375" style="92"/>
    <col min="13539" max="13539" width="5.140625" style="92" customWidth="1"/>
    <col min="13540" max="13540" width="24" style="92" customWidth="1"/>
    <col min="13541" max="13541" width="7.7109375" style="92" customWidth="1"/>
    <col min="13542" max="13542" width="8.7109375" style="92" customWidth="1"/>
    <col min="13543" max="13543" width="8.42578125" style="92" customWidth="1"/>
    <col min="13544" max="13544" width="9.42578125" style="92" customWidth="1"/>
    <col min="13545" max="13545" width="10.140625" style="92" customWidth="1"/>
    <col min="13546" max="13546" width="7.7109375" style="92" customWidth="1"/>
    <col min="13547" max="13548" width="9.42578125" style="92" customWidth="1"/>
    <col min="13549" max="13550" width="9.7109375" style="92" customWidth="1"/>
    <col min="13551" max="13551" width="8.7109375" style="92" customWidth="1"/>
    <col min="13552" max="13552" width="9.42578125" style="92" customWidth="1"/>
    <col min="13553" max="13553" width="6.7109375" style="92" customWidth="1"/>
    <col min="13554" max="13554" width="8.140625" style="92" customWidth="1"/>
    <col min="13555" max="13555" width="10.42578125" style="92" customWidth="1"/>
    <col min="13556" max="13556" width="8.42578125" style="92" customWidth="1"/>
    <col min="13557" max="13557" width="9.7109375" style="92" customWidth="1"/>
    <col min="13558" max="13558" width="9.42578125" style="92" customWidth="1"/>
    <col min="13559" max="13559" width="7.42578125" style="92" customWidth="1"/>
    <col min="13560" max="13560" width="8.42578125" style="92" customWidth="1"/>
    <col min="13561" max="13562" width="8.28515625" style="92" customWidth="1"/>
    <col min="13563" max="13563" width="11.42578125" style="92" customWidth="1"/>
    <col min="13564" max="13564" width="10.42578125" style="92" customWidth="1"/>
    <col min="13565" max="13565" width="9.7109375" style="92" customWidth="1"/>
    <col min="13566" max="13566" width="9.140625" style="92" customWidth="1"/>
    <col min="13567" max="13567" width="9.42578125" style="92" customWidth="1"/>
    <col min="13568" max="13568" width="7.42578125" style="92" customWidth="1"/>
    <col min="13569" max="13569" width="8.42578125" style="92" customWidth="1"/>
    <col min="13570" max="13570" width="8.28515625" style="92" customWidth="1"/>
    <col min="13571" max="13571" width="11.42578125" style="92" customWidth="1"/>
    <col min="13572" max="13584" width="8" style="92" customWidth="1"/>
    <col min="13585" max="13585" width="9.42578125" style="92" customWidth="1"/>
    <col min="13586" max="13586" width="6.7109375" style="92" customWidth="1"/>
    <col min="13587" max="13589" width="8.28515625" style="92" customWidth="1"/>
    <col min="13590" max="13590" width="8.7109375" style="92" customWidth="1"/>
    <col min="13591" max="13591" width="6.7109375" style="92" customWidth="1"/>
    <col min="13592" max="13794" width="8.7109375" style="92"/>
    <col min="13795" max="13795" width="5.140625" style="92" customWidth="1"/>
    <col min="13796" max="13796" width="24" style="92" customWidth="1"/>
    <col min="13797" max="13797" width="7.7109375" style="92" customWidth="1"/>
    <col min="13798" max="13798" width="8.7109375" style="92" customWidth="1"/>
    <col min="13799" max="13799" width="8.42578125" style="92" customWidth="1"/>
    <col min="13800" max="13800" width="9.42578125" style="92" customWidth="1"/>
    <col min="13801" max="13801" width="10.140625" style="92" customWidth="1"/>
    <col min="13802" max="13802" width="7.7109375" style="92" customWidth="1"/>
    <col min="13803" max="13804" width="9.42578125" style="92" customWidth="1"/>
    <col min="13805" max="13806" width="9.7109375" style="92" customWidth="1"/>
    <col min="13807" max="13807" width="8.7109375" style="92" customWidth="1"/>
    <col min="13808" max="13808" width="9.42578125" style="92" customWidth="1"/>
    <col min="13809" max="13809" width="6.7109375" style="92" customWidth="1"/>
    <col min="13810" max="13810" width="8.140625" style="92" customWidth="1"/>
    <col min="13811" max="13811" width="10.42578125" style="92" customWidth="1"/>
    <col min="13812" max="13812" width="8.42578125" style="92" customWidth="1"/>
    <col min="13813" max="13813" width="9.7109375" style="92" customWidth="1"/>
    <col min="13814" max="13814" width="9.42578125" style="92" customWidth="1"/>
    <col min="13815" max="13815" width="7.42578125" style="92" customWidth="1"/>
    <col min="13816" max="13816" width="8.42578125" style="92" customWidth="1"/>
    <col min="13817" max="13818" width="8.28515625" style="92" customWidth="1"/>
    <col min="13819" max="13819" width="11.42578125" style="92" customWidth="1"/>
    <col min="13820" max="13820" width="10.42578125" style="92" customWidth="1"/>
    <col min="13821" max="13821" width="9.7109375" style="92" customWidth="1"/>
    <col min="13822" max="13822" width="9.140625" style="92" customWidth="1"/>
    <col min="13823" max="13823" width="9.42578125" style="92" customWidth="1"/>
    <col min="13824" max="13824" width="7.42578125" style="92" customWidth="1"/>
    <col min="13825" max="13825" width="8.42578125" style="92" customWidth="1"/>
    <col min="13826" max="13826" width="8.28515625" style="92" customWidth="1"/>
    <col min="13827" max="13827" width="11.42578125" style="92" customWidth="1"/>
    <col min="13828" max="13840" width="8" style="92" customWidth="1"/>
    <col min="13841" max="13841" width="9.42578125" style="92" customWidth="1"/>
    <col min="13842" max="13842" width="6.7109375" style="92" customWidth="1"/>
    <col min="13843" max="13845" width="8.28515625" style="92" customWidth="1"/>
    <col min="13846" max="13846" width="8.7109375" style="92" customWidth="1"/>
    <col min="13847" max="13847" width="6.7109375" style="92" customWidth="1"/>
    <col min="13848" max="14050" width="8.7109375" style="92"/>
    <col min="14051" max="14051" width="5.140625" style="92" customWidth="1"/>
    <col min="14052" max="14052" width="24" style="92" customWidth="1"/>
    <col min="14053" max="14053" width="7.7109375" style="92" customWidth="1"/>
    <col min="14054" max="14054" width="8.7109375" style="92" customWidth="1"/>
    <col min="14055" max="14055" width="8.42578125" style="92" customWidth="1"/>
    <col min="14056" max="14056" width="9.42578125" style="92" customWidth="1"/>
    <col min="14057" max="14057" width="10.140625" style="92" customWidth="1"/>
    <col min="14058" max="14058" width="7.7109375" style="92" customWidth="1"/>
    <col min="14059" max="14060" width="9.42578125" style="92" customWidth="1"/>
    <col min="14061" max="14062" width="9.7109375" style="92" customWidth="1"/>
    <col min="14063" max="14063" width="8.7109375" style="92" customWidth="1"/>
    <col min="14064" max="14064" width="9.42578125" style="92" customWidth="1"/>
    <col min="14065" max="14065" width="6.7109375" style="92" customWidth="1"/>
    <col min="14066" max="14066" width="8.140625" style="92" customWidth="1"/>
    <col min="14067" max="14067" width="10.42578125" style="92" customWidth="1"/>
    <col min="14068" max="14068" width="8.42578125" style="92" customWidth="1"/>
    <col min="14069" max="14069" width="9.7109375" style="92" customWidth="1"/>
    <col min="14070" max="14070" width="9.42578125" style="92" customWidth="1"/>
    <col min="14071" max="14071" width="7.42578125" style="92" customWidth="1"/>
    <col min="14072" max="14072" width="8.42578125" style="92" customWidth="1"/>
    <col min="14073" max="14074" width="8.28515625" style="92" customWidth="1"/>
    <col min="14075" max="14075" width="11.42578125" style="92" customWidth="1"/>
    <col min="14076" max="14076" width="10.42578125" style="92" customWidth="1"/>
    <col min="14077" max="14077" width="9.7109375" style="92" customWidth="1"/>
    <col min="14078" max="14078" width="9.140625" style="92" customWidth="1"/>
    <col min="14079" max="14079" width="9.42578125" style="92" customWidth="1"/>
    <col min="14080" max="14080" width="7.42578125" style="92" customWidth="1"/>
    <col min="14081" max="14081" width="8.42578125" style="92" customWidth="1"/>
    <col min="14082" max="14082" width="8.28515625" style="92" customWidth="1"/>
    <col min="14083" max="14083" width="11.42578125" style="92" customWidth="1"/>
    <col min="14084" max="14096" width="8" style="92" customWidth="1"/>
    <col min="14097" max="14097" width="9.42578125" style="92" customWidth="1"/>
    <col min="14098" max="14098" width="6.7109375" style="92" customWidth="1"/>
    <col min="14099" max="14101" width="8.28515625" style="92" customWidth="1"/>
    <col min="14102" max="14102" width="8.7109375" style="92" customWidth="1"/>
    <col min="14103" max="14103" width="6.7109375" style="92" customWidth="1"/>
    <col min="14104" max="14306" width="8.7109375" style="92"/>
    <col min="14307" max="14307" width="5.140625" style="92" customWidth="1"/>
    <col min="14308" max="14308" width="24" style="92" customWidth="1"/>
    <col min="14309" max="14309" width="7.7109375" style="92" customWidth="1"/>
    <col min="14310" max="14310" width="8.7109375" style="92" customWidth="1"/>
    <col min="14311" max="14311" width="8.42578125" style="92" customWidth="1"/>
    <col min="14312" max="14312" width="9.42578125" style="92" customWidth="1"/>
    <col min="14313" max="14313" width="10.140625" style="92" customWidth="1"/>
    <col min="14314" max="14314" width="7.7109375" style="92" customWidth="1"/>
    <col min="14315" max="14316" width="9.42578125" style="92" customWidth="1"/>
    <col min="14317" max="14318" width="9.7109375" style="92" customWidth="1"/>
    <col min="14319" max="14319" width="8.7109375" style="92" customWidth="1"/>
    <col min="14320" max="14320" width="9.42578125" style="92" customWidth="1"/>
    <col min="14321" max="14321" width="6.7109375" style="92" customWidth="1"/>
    <col min="14322" max="14322" width="8.140625" style="92" customWidth="1"/>
    <col min="14323" max="14323" width="10.42578125" style="92" customWidth="1"/>
    <col min="14324" max="14324" width="8.42578125" style="92" customWidth="1"/>
    <col min="14325" max="14325" width="9.7109375" style="92" customWidth="1"/>
    <col min="14326" max="14326" width="9.42578125" style="92" customWidth="1"/>
    <col min="14327" max="14327" width="7.42578125" style="92" customWidth="1"/>
    <col min="14328" max="14328" width="8.42578125" style="92" customWidth="1"/>
    <col min="14329" max="14330" width="8.28515625" style="92" customWidth="1"/>
    <col min="14331" max="14331" width="11.42578125" style="92" customWidth="1"/>
    <col min="14332" max="14332" width="10.42578125" style="92" customWidth="1"/>
    <col min="14333" max="14333" width="9.7109375" style="92" customWidth="1"/>
    <col min="14334" max="14334" width="9.140625" style="92" customWidth="1"/>
    <col min="14335" max="14335" width="9.42578125" style="92" customWidth="1"/>
    <col min="14336" max="14336" width="7.42578125" style="92" customWidth="1"/>
    <col min="14337" max="14337" width="8.42578125" style="92" customWidth="1"/>
    <col min="14338" max="14338" width="8.28515625" style="92" customWidth="1"/>
    <col min="14339" max="14339" width="11.42578125" style="92" customWidth="1"/>
    <col min="14340" max="14352" width="8" style="92" customWidth="1"/>
    <col min="14353" max="14353" width="9.42578125" style="92" customWidth="1"/>
    <col min="14354" max="14354" width="6.7109375" style="92" customWidth="1"/>
    <col min="14355" max="14357" width="8.28515625" style="92" customWidth="1"/>
    <col min="14358" max="14358" width="8.7109375" style="92" customWidth="1"/>
    <col min="14359" max="14359" width="6.7109375" style="92" customWidth="1"/>
    <col min="14360" max="14562" width="8.7109375" style="92"/>
    <col min="14563" max="14563" width="5.140625" style="92" customWidth="1"/>
    <col min="14564" max="14564" width="24" style="92" customWidth="1"/>
    <col min="14565" max="14565" width="7.7109375" style="92" customWidth="1"/>
    <col min="14566" max="14566" width="8.7109375" style="92" customWidth="1"/>
    <col min="14567" max="14567" width="8.42578125" style="92" customWidth="1"/>
    <col min="14568" max="14568" width="9.42578125" style="92" customWidth="1"/>
    <col min="14569" max="14569" width="10.140625" style="92" customWidth="1"/>
    <col min="14570" max="14570" width="7.7109375" style="92" customWidth="1"/>
    <col min="14571" max="14572" width="9.42578125" style="92" customWidth="1"/>
    <col min="14573" max="14574" width="9.7109375" style="92" customWidth="1"/>
    <col min="14575" max="14575" width="8.7109375" style="92" customWidth="1"/>
    <col min="14576" max="14576" width="9.42578125" style="92" customWidth="1"/>
    <col min="14577" max="14577" width="6.7109375" style="92" customWidth="1"/>
    <col min="14578" max="14578" width="8.140625" style="92" customWidth="1"/>
    <col min="14579" max="14579" width="10.42578125" style="92" customWidth="1"/>
    <col min="14580" max="14580" width="8.42578125" style="92" customWidth="1"/>
    <col min="14581" max="14581" width="9.7109375" style="92" customWidth="1"/>
    <col min="14582" max="14582" width="9.42578125" style="92" customWidth="1"/>
    <col min="14583" max="14583" width="7.42578125" style="92" customWidth="1"/>
    <col min="14584" max="14584" width="8.42578125" style="92" customWidth="1"/>
    <col min="14585" max="14586" width="8.28515625" style="92" customWidth="1"/>
    <col min="14587" max="14587" width="11.42578125" style="92" customWidth="1"/>
    <col min="14588" max="14588" width="10.42578125" style="92" customWidth="1"/>
    <col min="14589" max="14589" width="9.7109375" style="92" customWidth="1"/>
    <col min="14590" max="14590" width="9.140625" style="92" customWidth="1"/>
    <col min="14591" max="14591" width="9.42578125" style="92" customWidth="1"/>
    <col min="14592" max="14592" width="7.42578125" style="92" customWidth="1"/>
    <col min="14593" max="14593" width="8.42578125" style="92" customWidth="1"/>
    <col min="14594" max="14594" width="8.28515625" style="92" customWidth="1"/>
    <col min="14595" max="14595" width="11.42578125" style="92" customWidth="1"/>
    <col min="14596" max="14608" width="8" style="92" customWidth="1"/>
    <col min="14609" max="14609" width="9.42578125" style="92" customWidth="1"/>
    <col min="14610" max="14610" width="6.7109375" style="92" customWidth="1"/>
    <col min="14611" max="14613" width="8.28515625" style="92" customWidth="1"/>
    <col min="14614" max="14614" width="8.7109375" style="92" customWidth="1"/>
    <col min="14615" max="14615" width="6.7109375" style="92" customWidth="1"/>
    <col min="14616" max="14818" width="8.7109375" style="92"/>
    <col min="14819" max="14819" width="5.140625" style="92" customWidth="1"/>
    <col min="14820" max="14820" width="24" style="92" customWidth="1"/>
    <col min="14821" max="14821" width="7.7109375" style="92" customWidth="1"/>
    <col min="14822" max="14822" width="8.7109375" style="92" customWidth="1"/>
    <col min="14823" max="14823" width="8.42578125" style="92" customWidth="1"/>
    <col min="14824" max="14824" width="9.42578125" style="92" customWidth="1"/>
    <col min="14825" max="14825" width="10.140625" style="92" customWidth="1"/>
    <col min="14826" max="14826" width="7.7109375" style="92" customWidth="1"/>
    <col min="14827" max="14828" width="9.42578125" style="92" customWidth="1"/>
    <col min="14829" max="14830" width="9.7109375" style="92" customWidth="1"/>
    <col min="14831" max="14831" width="8.7109375" style="92" customWidth="1"/>
    <col min="14832" max="14832" width="9.42578125" style="92" customWidth="1"/>
    <col min="14833" max="14833" width="6.7109375" style="92" customWidth="1"/>
    <col min="14834" max="14834" width="8.140625" style="92" customWidth="1"/>
    <col min="14835" max="14835" width="10.42578125" style="92" customWidth="1"/>
    <col min="14836" max="14836" width="8.42578125" style="92" customWidth="1"/>
    <col min="14837" max="14837" width="9.7109375" style="92" customWidth="1"/>
    <col min="14838" max="14838" width="9.42578125" style="92" customWidth="1"/>
    <col min="14839" max="14839" width="7.42578125" style="92" customWidth="1"/>
    <col min="14840" max="14840" width="8.42578125" style="92" customWidth="1"/>
    <col min="14841" max="14842" width="8.28515625" style="92" customWidth="1"/>
    <col min="14843" max="14843" width="11.42578125" style="92" customWidth="1"/>
    <col min="14844" max="14844" width="10.42578125" style="92" customWidth="1"/>
    <col min="14845" max="14845" width="9.7109375" style="92" customWidth="1"/>
    <col min="14846" max="14846" width="9.140625" style="92" customWidth="1"/>
    <col min="14847" max="14847" width="9.42578125" style="92" customWidth="1"/>
    <col min="14848" max="14848" width="7.42578125" style="92" customWidth="1"/>
    <col min="14849" max="14849" width="8.42578125" style="92" customWidth="1"/>
    <col min="14850" max="14850" width="8.28515625" style="92" customWidth="1"/>
    <col min="14851" max="14851" width="11.42578125" style="92" customWidth="1"/>
    <col min="14852" max="14864" width="8" style="92" customWidth="1"/>
    <col min="14865" max="14865" width="9.42578125" style="92" customWidth="1"/>
    <col min="14866" max="14866" width="6.7109375" style="92" customWidth="1"/>
    <col min="14867" max="14869" width="8.28515625" style="92" customWidth="1"/>
    <col min="14870" max="14870" width="8.7109375" style="92" customWidth="1"/>
    <col min="14871" max="14871" width="6.7109375" style="92" customWidth="1"/>
    <col min="14872" max="15074" width="8.7109375" style="92"/>
    <col min="15075" max="15075" width="5.140625" style="92" customWidth="1"/>
    <col min="15076" max="15076" width="24" style="92" customWidth="1"/>
    <col min="15077" max="15077" width="7.7109375" style="92" customWidth="1"/>
    <col min="15078" max="15078" width="8.7109375" style="92" customWidth="1"/>
    <col min="15079" max="15079" width="8.42578125" style="92" customWidth="1"/>
    <col min="15080" max="15080" width="9.42578125" style="92" customWidth="1"/>
    <col min="15081" max="15081" width="10.140625" style="92" customWidth="1"/>
    <col min="15082" max="15082" width="7.7109375" style="92" customWidth="1"/>
    <col min="15083" max="15084" width="9.42578125" style="92" customWidth="1"/>
    <col min="15085" max="15086" width="9.7109375" style="92" customWidth="1"/>
    <col min="15087" max="15087" width="8.7109375" style="92" customWidth="1"/>
    <col min="15088" max="15088" width="9.42578125" style="92" customWidth="1"/>
    <col min="15089" max="15089" width="6.7109375" style="92" customWidth="1"/>
    <col min="15090" max="15090" width="8.140625" style="92" customWidth="1"/>
    <col min="15091" max="15091" width="10.42578125" style="92" customWidth="1"/>
    <col min="15092" max="15092" width="8.42578125" style="92" customWidth="1"/>
    <col min="15093" max="15093" width="9.7109375" style="92" customWidth="1"/>
    <col min="15094" max="15094" width="9.42578125" style="92" customWidth="1"/>
    <col min="15095" max="15095" width="7.42578125" style="92" customWidth="1"/>
    <col min="15096" max="15096" width="8.42578125" style="92" customWidth="1"/>
    <col min="15097" max="15098" width="8.28515625" style="92" customWidth="1"/>
    <col min="15099" max="15099" width="11.42578125" style="92" customWidth="1"/>
    <col min="15100" max="15100" width="10.42578125" style="92" customWidth="1"/>
    <col min="15101" max="15101" width="9.7109375" style="92" customWidth="1"/>
    <col min="15102" max="15102" width="9.140625" style="92" customWidth="1"/>
    <col min="15103" max="15103" width="9.42578125" style="92" customWidth="1"/>
    <col min="15104" max="15104" width="7.42578125" style="92" customWidth="1"/>
    <col min="15105" max="15105" width="8.42578125" style="92" customWidth="1"/>
    <col min="15106" max="15106" width="8.28515625" style="92" customWidth="1"/>
    <col min="15107" max="15107" width="11.42578125" style="92" customWidth="1"/>
    <col min="15108" max="15120" width="8" style="92" customWidth="1"/>
    <col min="15121" max="15121" width="9.42578125" style="92" customWidth="1"/>
    <col min="15122" max="15122" width="6.7109375" style="92" customWidth="1"/>
    <col min="15123" max="15125" width="8.28515625" style="92" customWidth="1"/>
    <col min="15126" max="15126" width="8.7109375" style="92" customWidth="1"/>
    <col min="15127" max="15127" width="6.7109375" style="92" customWidth="1"/>
    <col min="15128" max="15330" width="8.7109375" style="92"/>
    <col min="15331" max="15331" width="5.140625" style="92" customWidth="1"/>
    <col min="15332" max="15332" width="24" style="92" customWidth="1"/>
    <col min="15333" max="15333" width="7.7109375" style="92" customWidth="1"/>
    <col min="15334" max="15334" width="8.7109375" style="92" customWidth="1"/>
    <col min="15335" max="15335" width="8.42578125" style="92" customWidth="1"/>
    <col min="15336" max="15336" width="9.42578125" style="92" customWidth="1"/>
    <col min="15337" max="15337" width="10.140625" style="92" customWidth="1"/>
    <col min="15338" max="15338" width="7.7109375" style="92" customWidth="1"/>
    <col min="15339" max="15340" width="9.42578125" style="92" customWidth="1"/>
    <col min="15341" max="15342" width="9.7109375" style="92" customWidth="1"/>
    <col min="15343" max="15343" width="8.7109375" style="92" customWidth="1"/>
    <col min="15344" max="15344" width="9.42578125" style="92" customWidth="1"/>
    <col min="15345" max="15345" width="6.7109375" style="92" customWidth="1"/>
    <col min="15346" max="15346" width="8.140625" style="92" customWidth="1"/>
    <col min="15347" max="15347" width="10.42578125" style="92" customWidth="1"/>
    <col min="15348" max="15348" width="8.42578125" style="92" customWidth="1"/>
    <col min="15349" max="15349" width="9.7109375" style="92" customWidth="1"/>
    <col min="15350" max="15350" width="9.42578125" style="92" customWidth="1"/>
    <col min="15351" max="15351" width="7.42578125" style="92" customWidth="1"/>
    <col min="15352" max="15352" width="8.42578125" style="92" customWidth="1"/>
    <col min="15353" max="15354" width="8.28515625" style="92" customWidth="1"/>
    <col min="15355" max="15355" width="11.42578125" style="92" customWidth="1"/>
    <col min="15356" max="15356" width="10.42578125" style="92" customWidth="1"/>
    <col min="15357" max="15357" width="9.7109375" style="92" customWidth="1"/>
    <col min="15358" max="15358" width="9.140625" style="92" customWidth="1"/>
    <col min="15359" max="15359" width="9.42578125" style="92" customWidth="1"/>
    <col min="15360" max="15360" width="7.42578125" style="92" customWidth="1"/>
    <col min="15361" max="15361" width="8.42578125" style="92" customWidth="1"/>
    <col min="15362" max="15362" width="8.28515625" style="92" customWidth="1"/>
    <col min="15363" max="15363" width="11.42578125" style="92" customWidth="1"/>
    <col min="15364" max="15376" width="8" style="92" customWidth="1"/>
    <col min="15377" max="15377" width="9.42578125" style="92" customWidth="1"/>
    <col min="15378" max="15378" width="6.7109375" style="92" customWidth="1"/>
    <col min="15379" max="15381" width="8.28515625" style="92" customWidth="1"/>
    <col min="15382" max="15382" width="8.7109375" style="92" customWidth="1"/>
    <col min="15383" max="15383" width="6.7109375" style="92" customWidth="1"/>
    <col min="15384" max="15586" width="8.7109375" style="92"/>
    <col min="15587" max="15587" width="5.140625" style="92" customWidth="1"/>
    <col min="15588" max="15588" width="24" style="92" customWidth="1"/>
    <col min="15589" max="15589" width="7.7109375" style="92" customWidth="1"/>
    <col min="15590" max="15590" width="8.7109375" style="92" customWidth="1"/>
    <col min="15591" max="15591" width="8.42578125" style="92" customWidth="1"/>
    <col min="15592" max="15592" width="9.42578125" style="92" customWidth="1"/>
    <col min="15593" max="15593" width="10.140625" style="92" customWidth="1"/>
    <col min="15594" max="15594" width="7.7109375" style="92" customWidth="1"/>
    <col min="15595" max="15596" width="9.42578125" style="92" customWidth="1"/>
    <col min="15597" max="15598" width="9.7109375" style="92" customWidth="1"/>
    <col min="15599" max="15599" width="8.7109375" style="92" customWidth="1"/>
    <col min="15600" max="15600" width="9.42578125" style="92" customWidth="1"/>
    <col min="15601" max="15601" width="6.7109375" style="92" customWidth="1"/>
    <col min="15602" max="15602" width="8.140625" style="92" customWidth="1"/>
    <col min="15603" max="15603" width="10.42578125" style="92" customWidth="1"/>
    <col min="15604" max="15604" width="8.42578125" style="92" customWidth="1"/>
    <col min="15605" max="15605" width="9.7109375" style="92" customWidth="1"/>
    <col min="15606" max="15606" width="9.42578125" style="92" customWidth="1"/>
    <col min="15607" max="15607" width="7.42578125" style="92" customWidth="1"/>
    <col min="15608" max="15608" width="8.42578125" style="92" customWidth="1"/>
    <col min="15609" max="15610" width="8.28515625" style="92" customWidth="1"/>
    <col min="15611" max="15611" width="11.42578125" style="92" customWidth="1"/>
    <col min="15612" max="15612" width="10.42578125" style="92" customWidth="1"/>
    <col min="15613" max="15613" width="9.7109375" style="92" customWidth="1"/>
    <col min="15614" max="15614" width="9.140625" style="92" customWidth="1"/>
    <col min="15615" max="15615" width="9.42578125" style="92" customWidth="1"/>
    <col min="15616" max="15616" width="7.42578125" style="92" customWidth="1"/>
    <col min="15617" max="15617" width="8.42578125" style="92" customWidth="1"/>
    <col min="15618" max="15618" width="8.28515625" style="92" customWidth="1"/>
    <col min="15619" max="15619" width="11.42578125" style="92" customWidth="1"/>
    <col min="15620" max="15632" width="8" style="92" customWidth="1"/>
    <col min="15633" max="15633" width="9.42578125" style="92" customWidth="1"/>
    <col min="15634" max="15634" width="6.7109375" style="92" customWidth="1"/>
    <col min="15635" max="15637" width="8.28515625" style="92" customWidth="1"/>
    <col min="15638" max="15638" width="8.7109375" style="92" customWidth="1"/>
    <col min="15639" max="15639" width="6.7109375" style="92" customWidth="1"/>
    <col min="15640" max="15842" width="8.7109375" style="92"/>
    <col min="15843" max="15843" width="5.140625" style="92" customWidth="1"/>
    <col min="15844" max="15844" width="24" style="92" customWidth="1"/>
    <col min="15845" max="15845" width="7.7109375" style="92" customWidth="1"/>
    <col min="15846" max="15846" width="8.7109375" style="92" customWidth="1"/>
    <col min="15847" max="15847" width="8.42578125" style="92" customWidth="1"/>
    <col min="15848" max="15848" width="9.42578125" style="92" customWidth="1"/>
    <col min="15849" max="15849" width="10.140625" style="92" customWidth="1"/>
    <col min="15850" max="15850" width="7.7109375" style="92" customWidth="1"/>
    <col min="15851" max="15852" width="9.42578125" style="92" customWidth="1"/>
    <col min="15853" max="15854" width="9.7109375" style="92" customWidth="1"/>
    <col min="15855" max="15855" width="8.7109375" style="92" customWidth="1"/>
    <col min="15856" max="15856" width="9.42578125" style="92" customWidth="1"/>
    <col min="15857" max="15857" width="6.7109375" style="92" customWidth="1"/>
    <col min="15858" max="15858" width="8.140625" style="92" customWidth="1"/>
    <col min="15859" max="15859" width="10.42578125" style="92" customWidth="1"/>
    <col min="15860" max="15860" width="8.42578125" style="92" customWidth="1"/>
    <col min="15861" max="15861" width="9.7109375" style="92" customWidth="1"/>
    <col min="15862" max="15862" width="9.42578125" style="92" customWidth="1"/>
    <col min="15863" max="15863" width="7.42578125" style="92" customWidth="1"/>
    <col min="15864" max="15864" width="8.42578125" style="92" customWidth="1"/>
    <col min="15865" max="15866" width="8.28515625" style="92" customWidth="1"/>
    <col min="15867" max="15867" width="11.42578125" style="92" customWidth="1"/>
    <col min="15868" max="15868" width="10.42578125" style="92" customWidth="1"/>
    <col min="15869" max="15869" width="9.7109375" style="92" customWidth="1"/>
    <col min="15870" max="15870" width="9.140625" style="92" customWidth="1"/>
    <col min="15871" max="15871" width="9.42578125" style="92" customWidth="1"/>
    <col min="15872" max="15872" width="7.42578125" style="92" customWidth="1"/>
    <col min="15873" max="15873" width="8.42578125" style="92" customWidth="1"/>
    <col min="15874" max="15874" width="8.28515625" style="92" customWidth="1"/>
    <col min="15875" max="15875" width="11.42578125" style="92" customWidth="1"/>
    <col min="15876" max="15888" width="8" style="92" customWidth="1"/>
    <col min="15889" max="15889" width="9.42578125" style="92" customWidth="1"/>
    <col min="15890" max="15890" width="6.7109375" style="92" customWidth="1"/>
    <col min="15891" max="15893" width="8.28515625" style="92" customWidth="1"/>
    <col min="15894" max="15894" width="8.7109375" style="92" customWidth="1"/>
    <col min="15895" max="15895" width="6.7109375" style="92" customWidth="1"/>
    <col min="15896" max="16098" width="8.7109375" style="92"/>
    <col min="16099" max="16099" width="5.140625" style="92" customWidth="1"/>
    <col min="16100" max="16100" width="24" style="92" customWidth="1"/>
    <col min="16101" max="16101" width="7.7109375" style="92" customWidth="1"/>
    <col min="16102" max="16102" width="8.7109375" style="92" customWidth="1"/>
    <col min="16103" max="16103" width="8.42578125" style="92" customWidth="1"/>
    <col min="16104" max="16104" width="9.42578125" style="92" customWidth="1"/>
    <col min="16105" max="16105" width="10.140625" style="92" customWidth="1"/>
    <col min="16106" max="16106" width="7.7109375" style="92" customWidth="1"/>
    <col min="16107" max="16108" width="9.42578125" style="92" customWidth="1"/>
    <col min="16109" max="16110" width="9.7109375" style="92" customWidth="1"/>
    <col min="16111" max="16111" width="8.7109375" style="92" customWidth="1"/>
    <col min="16112" max="16112" width="9.42578125" style="92" customWidth="1"/>
    <col min="16113" max="16113" width="6.7109375" style="92" customWidth="1"/>
    <col min="16114" max="16114" width="8.140625" style="92" customWidth="1"/>
    <col min="16115" max="16115" width="10.42578125" style="92" customWidth="1"/>
    <col min="16116" max="16116" width="8.42578125" style="92" customWidth="1"/>
    <col min="16117" max="16117" width="9.7109375" style="92" customWidth="1"/>
    <col min="16118" max="16118" width="9.42578125" style="92" customWidth="1"/>
    <col min="16119" max="16119" width="7.42578125" style="92" customWidth="1"/>
    <col min="16120" max="16120" width="8.42578125" style="92" customWidth="1"/>
    <col min="16121" max="16122" width="8.28515625" style="92" customWidth="1"/>
    <col min="16123" max="16123" width="11.42578125" style="92" customWidth="1"/>
    <col min="16124" max="16124" width="10.42578125" style="92" customWidth="1"/>
    <col min="16125" max="16125" width="9.7109375" style="92" customWidth="1"/>
    <col min="16126" max="16126" width="9.140625" style="92" customWidth="1"/>
    <col min="16127" max="16127" width="9.42578125" style="92" customWidth="1"/>
    <col min="16128" max="16128" width="7.42578125" style="92" customWidth="1"/>
    <col min="16129" max="16129" width="8.42578125" style="92" customWidth="1"/>
    <col min="16130" max="16130" width="8.28515625" style="92" customWidth="1"/>
    <col min="16131" max="16131" width="11.42578125" style="92" customWidth="1"/>
    <col min="16132" max="16144" width="8" style="92" customWidth="1"/>
    <col min="16145" max="16145" width="9.42578125" style="92" customWidth="1"/>
    <col min="16146" max="16146" width="6.7109375" style="92" customWidth="1"/>
    <col min="16147" max="16149" width="8.28515625" style="92" customWidth="1"/>
    <col min="16150" max="16150" width="8.7109375" style="92" customWidth="1"/>
    <col min="16151" max="16151" width="6.7109375" style="92" customWidth="1"/>
    <col min="16152" max="16384" width="8.7109375" style="92"/>
  </cols>
  <sheetData>
    <row r="1" spans="1:27" ht="24" customHeight="1">
      <c r="A1" s="1201" t="s">
        <v>527</v>
      </c>
      <c r="B1" s="1201"/>
      <c r="C1" s="1201"/>
      <c r="D1" s="1201"/>
      <c r="E1" s="1201"/>
      <c r="F1" s="1201"/>
      <c r="G1" s="1201"/>
      <c r="H1" s="1201"/>
      <c r="I1" s="1201"/>
      <c r="J1" s="1201"/>
      <c r="N1" s="22"/>
      <c r="O1" s="1202" t="s">
        <v>1</v>
      </c>
      <c r="P1" s="1202"/>
      <c r="Q1" s="1202"/>
      <c r="R1" s="1202"/>
      <c r="S1" s="1202"/>
      <c r="T1" s="1202"/>
      <c r="U1" s="1202"/>
      <c r="V1" s="1202"/>
      <c r="W1" s="1202"/>
    </row>
    <row r="2" spans="1:27" ht="24" customHeight="1">
      <c r="A2" s="1203" t="s">
        <v>2</v>
      </c>
      <c r="B2" s="1203"/>
      <c r="C2" s="1203"/>
      <c r="D2" s="1203"/>
      <c r="E2" s="1203"/>
      <c r="F2" s="1203"/>
      <c r="G2" s="1203"/>
      <c r="H2" s="1203"/>
      <c r="I2" s="1203"/>
      <c r="J2" s="1203"/>
      <c r="N2" s="24"/>
      <c r="O2" s="1204" t="s">
        <v>3</v>
      </c>
      <c r="P2" s="1204"/>
      <c r="Q2" s="1204"/>
      <c r="R2" s="1204"/>
      <c r="S2" s="1204"/>
      <c r="T2" s="1204"/>
      <c r="U2" s="1204"/>
      <c r="V2" s="1204"/>
      <c r="W2" s="1204"/>
    </row>
    <row r="3" spans="1:27" s="127" customFormat="1" ht="34.5" customHeight="1">
      <c r="A3" s="1260" t="s">
        <v>492</v>
      </c>
      <c r="B3" s="1260"/>
      <c r="C3" s="1260"/>
      <c r="D3" s="1260"/>
      <c r="E3" s="1260"/>
      <c r="F3" s="1260"/>
      <c r="G3" s="1260"/>
      <c r="H3" s="1260"/>
      <c r="I3" s="1260"/>
      <c r="J3" s="1260"/>
      <c r="K3" s="1260"/>
      <c r="L3" s="1260"/>
      <c r="M3" s="1260"/>
      <c r="N3" s="1260"/>
      <c r="O3" s="1260"/>
      <c r="P3" s="1260"/>
      <c r="Q3" s="1260"/>
      <c r="R3" s="1260"/>
      <c r="S3" s="1260"/>
      <c r="T3" s="1260"/>
      <c r="U3" s="1260"/>
      <c r="V3" s="1260"/>
      <c r="W3" s="1260"/>
    </row>
    <row r="4" spans="1:27" s="128" customFormat="1" ht="27.75">
      <c r="A4" s="1258" t="s">
        <v>528</v>
      </c>
      <c r="B4" s="1258"/>
      <c r="C4" s="1258"/>
      <c r="D4" s="1258"/>
      <c r="E4" s="1258"/>
      <c r="F4" s="1258"/>
      <c r="G4" s="1258"/>
      <c r="H4" s="1258"/>
      <c r="I4" s="1258"/>
      <c r="J4" s="1258"/>
      <c r="K4" s="1258"/>
      <c r="L4" s="1258"/>
      <c r="M4" s="1258"/>
      <c r="N4" s="1258"/>
      <c r="O4" s="1258"/>
      <c r="P4" s="1258"/>
      <c r="Q4" s="1258"/>
      <c r="R4" s="1258"/>
      <c r="S4" s="1258"/>
      <c r="T4" s="1258"/>
      <c r="U4" s="1258"/>
      <c r="V4" s="1258"/>
      <c r="W4" s="1258"/>
      <c r="Y4" s="137"/>
      <c r="AA4" s="137"/>
    </row>
    <row r="5" spans="1:27" s="129" customFormat="1" ht="35.25" customHeight="1">
      <c r="A5" s="1259" t="s">
        <v>6</v>
      </c>
      <c r="B5" s="1259"/>
      <c r="C5" s="1259"/>
      <c r="D5" s="1259"/>
      <c r="E5" s="1259"/>
      <c r="F5" s="1259"/>
      <c r="G5" s="1259"/>
      <c r="H5" s="1259"/>
      <c r="I5" s="1259"/>
      <c r="J5" s="1259"/>
      <c r="K5" s="1259"/>
      <c r="L5" s="1259"/>
      <c r="M5" s="1259"/>
      <c r="N5" s="1259"/>
      <c r="O5" s="1259"/>
      <c r="P5" s="1259"/>
      <c r="Q5" s="1259"/>
      <c r="R5" s="1259"/>
      <c r="S5" s="1259"/>
      <c r="T5" s="1259"/>
      <c r="U5" s="1259"/>
      <c r="V5" s="1259"/>
      <c r="W5" s="1259"/>
      <c r="Y5" s="129" t="s">
        <v>529</v>
      </c>
      <c r="AA5" s="128"/>
    </row>
    <row r="6" spans="1:27" s="130" customFormat="1" ht="47.25" customHeight="1">
      <c r="A6" s="1241" t="s">
        <v>172</v>
      </c>
      <c r="B6" s="1241" t="s">
        <v>69</v>
      </c>
      <c r="C6" s="1241" t="s">
        <v>214</v>
      </c>
      <c r="D6" s="1241" t="s">
        <v>215</v>
      </c>
      <c r="E6" s="1241" t="s">
        <v>173</v>
      </c>
      <c r="F6" s="1241" t="s">
        <v>174</v>
      </c>
      <c r="G6" s="1241"/>
      <c r="H6" s="1241"/>
      <c r="I6" s="1241"/>
      <c r="J6" s="1241"/>
      <c r="K6" s="1241"/>
      <c r="L6" s="1241"/>
      <c r="M6" s="1241"/>
      <c r="N6" s="1241"/>
      <c r="O6" s="1241" t="s">
        <v>523</v>
      </c>
      <c r="P6" s="1241"/>
      <c r="Q6" s="1241"/>
      <c r="R6" s="1241"/>
      <c r="S6" s="1241"/>
      <c r="T6" s="1241"/>
      <c r="U6" s="1241"/>
      <c r="V6" s="1241"/>
      <c r="W6" s="1241"/>
    </row>
    <row r="7" spans="1:27" s="130" customFormat="1" ht="33.75" customHeight="1">
      <c r="A7" s="1241"/>
      <c r="B7" s="1241"/>
      <c r="C7" s="1241"/>
      <c r="D7" s="1241"/>
      <c r="E7" s="1241"/>
      <c r="F7" s="1241" t="s">
        <v>501</v>
      </c>
      <c r="G7" s="1241" t="s">
        <v>73</v>
      </c>
      <c r="H7" s="1241"/>
      <c r="I7" s="1241"/>
      <c r="J7" s="1241"/>
      <c r="K7" s="1241"/>
      <c r="L7" s="1241"/>
      <c r="M7" s="1241"/>
      <c r="N7" s="1241"/>
      <c r="O7" s="1241" t="s">
        <v>502</v>
      </c>
      <c r="P7" s="1241" t="s">
        <v>503</v>
      </c>
      <c r="Q7" s="1241"/>
      <c r="R7" s="1241"/>
      <c r="S7" s="1241"/>
      <c r="T7" s="1241"/>
      <c r="U7" s="1241"/>
      <c r="V7" s="1241"/>
      <c r="W7" s="1241"/>
    </row>
    <row r="8" spans="1:27" s="130" customFormat="1" ht="42.6" customHeight="1">
      <c r="A8" s="1241"/>
      <c r="B8" s="1241"/>
      <c r="C8" s="1241"/>
      <c r="D8" s="1241"/>
      <c r="E8" s="1241"/>
      <c r="F8" s="1241"/>
      <c r="G8" s="1241" t="s">
        <v>502</v>
      </c>
      <c r="H8" s="1241" t="s">
        <v>503</v>
      </c>
      <c r="I8" s="1241"/>
      <c r="J8" s="1241"/>
      <c r="K8" s="1241"/>
      <c r="L8" s="1241"/>
      <c r="M8" s="1241"/>
      <c r="N8" s="1241"/>
      <c r="O8" s="1241"/>
      <c r="P8" s="1241" t="s">
        <v>504</v>
      </c>
      <c r="Q8" s="1241"/>
      <c r="R8" s="1241"/>
      <c r="S8" s="1241"/>
      <c r="T8" s="1241" t="s">
        <v>505</v>
      </c>
      <c r="U8" s="1241"/>
      <c r="V8" s="1241"/>
      <c r="W8" s="1241"/>
    </row>
    <row r="9" spans="1:27" s="130" customFormat="1" ht="30.75" customHeight="1">
      <c r="A9" s="1241"/>
      <c r="B9" s="1241"/>
      <c r="C9" s="1241"/>
      <c r="D9" s="1241"/>
      <c r="E9" s="1241"/>
      <c r="F9" s="1241"/>
      <c r="G9" s="1241"/>
      <c r="H9" s="1241" t="s">
        <v>506</v>
      </c>
      <c r="I9" s="1241"/>
      <c r="J9" s="1241"/>
      <c r="K9" s="1241" t="s">
        <v>507</v>
      </c>
      <c r="L9" s="1241"/>
      <c r="M9" s="1241"/>
      <c r="N9" s="1241"/>
      <c r="O9" s="1241"/>
      <c r="P9" s="1241" t="s">
        <v>508</v>
      </c>
      <c r="Q9" s="1241" t="s">
        <v>82</v>
      </c>
      <c r="R9" s="1241"/>
      <c r="S9" s="1241"/>
      <c r="T9" s="1241" t="s">
        <v>17</v>
      </c>
      <c r="U9" s="1241" t="s">
        <v>82</v>
      </c>
      <c r="V9" s="1241"/>
      <c r="W9" s="1241"/>
    </row>
    <row r="10" spans="1:27" s="130" customFormat="1" ht="19.5" customHeight="1">
      <c r="A10" s="1241"/>
      <c r="B10" s="1241"/>
      <c r="C10" s="1241"/>
      <c r="D10" s="1241"/>
      <c r="E10" s="1241"/>
      <c r="F10" s="1241"/>
      <c r="G10" s="1241"/>
      <c r="H10" s="1241"/>
      <c r="I10" s="1241"/>
      <c r="J10" s="1241"/>
      <c r="K10" s="1241"/>
      <c r="L10" s="1241"/>
      <c r="M10" s="1241"/>
      <c r="N10" s="1241"/>
      <c r="O10" s="1241"/>
      <c r="P10" s="1241"/>
      <c r="Q10" s="1241" t="s">
        <v>18</v>
      </c>
      <c r="R10" s="1241" t="s">
        <v>19</v>
      </c>
      <c r="S10" s="1241" t="s">
        <v>261</v>
      </c>
      <c r="T10" s="1241"/>
      <c r="U10" s="1241" t="s">
        <v>509</v>
      </c>
      <c r="V10" s="1241" t="s">
        <v>510</v>
      </c>
      <c r="W10" s="1241"/>
    </row>
    <row r="11" spans="1:27" s="130" customFormat="1" ht="32.25" customHeight="1">
      <c r="A11" s="1241"/>
      <c r="B11" s="1241"/>
      <c r="C11" s="1241"/>
      <c r="D11" s="1241"/>
      <c r="E11" s="1241"/>
      <c r="F11" s="1241"/>
      <c r="G11" s="1241"/>
      <c r="H11" s="1241" t="s">
        <v>508</v>
      </c>
      <c r="I11" s="1241" t="s">
        <v>75</v>
      </c>
      <c r="J11" s="1241"/>
      <c r="K11" s="1241" t="s">
        <v>511</v>
      </c>
      <c r="L11" s="1241" t="s">
        <v>512</v>
      </c>
      <c r="M11" s="1241"/>
      <c r="N11" s="1241"/>
      <c r="O11" s="1241"/>
      <c r="P11" s="1241"/>
      <c r="Q11" s="1241"/>
      <c r="R11" s="1241"/>
      <c r="S11" s="1241"/>
      <c r="T11" s="1241"/>
      <c r="U11" s="1241"/>
      <c r="V11" s="1241"/>
      <c r="W11" s="1241"/>
    </row>
    <row r="12" spans="1:27" s="130" customFormat="1" ht="30" customHeight="1">
      <c r="A12" s="1241"/>
      <c r="B12" s="1241"/>
      <c r="C12" s="1241"/>
      <c r="D12" s="1241"/>
      <c r="E12" s="1241"/>
      <c r="F12" s="1241"/>
      <c r="G12" s="1241"/>
      <c r="H12" s="1241"/>
      <c r="I12" s="1241" t="s">
        <v>18</v>
      </c>
      <c r="J12" s="1241" t="s">
        <v>261</v>
      </c>
      <c r="K12" s="1241"/>
      <c r="L12" s="1241" t="s">
        <v>17</v>
      </c>
      <c r="M12" s="1241" t="s">
        <v>75</v>
      </c>
      <c r="N12" s="1241"/>
      <c r="O12" s="1241"/>
      <c r="P12" s="1241"/>
      <c r="Q12" s="1241"/>
      <c r="R12" s="1241"/>
      <c r="S12" s="1241"/>
      <c r="T12" s="1241"/>
      <c r="U12" s="1241"/>
      <c r="V12" s="1241"/>
      <c r="W12" s="1241"/>
    </row>
    <row r="13" spans="1:27" s="130" customFormat="1" ht="56.25">
      <c r="A13" s="1241"/>
      <c r="B13" s="1241"/>
      <c r="C13" s="1241"/>
      <c r="D13" s="1241"/>
      <c r="E13" s="1241"/>
      <c r="F13" s="1241"/>
      <c r="G13" s="1241"/>
      <c r="H13" s="1241"/>
      <c r="I13" s="1241"/>
      <c r="J13" s="1241"/>
      <c r="K13" s="1241"/>
      <c r="L13" s="1241"/>
      <c r="M13" s="2" t="s">
        <v>509</v>
      </c>
      <c r="N13" s="2" t="s">
        <v>510</v>
      </c>
      <c r="O13" s="1241"/>
      <c r="P13" s="1241"/>
      <c r="Q13" s="1241"/>
      <c r="R13" s="1241"/>
      <c r="S13" s="1241"/>
      <c r="T13" s="1241"/>
      <c r="U13" s="1241"/>
      <c r="V13" s="1241"/>
      <c r="W13" s="1241"/>
    </row>
    <row r="14" spans="1:27" s="131" customFormat="1" ht="24" customHeight="1">
      <c r="A14" s="2">
        <v>1</v>
      </c>
      <c r="B14" s="2">
        <f>A14+1</f>
        <v>2</v>
      </c>
      <c r="C14" s="2">
        <f t="shared" ref="C14:W14" si="0">B14+1</f>
        <v>3</v>
      </c>
      <c r="D14" s="2">
        <f t="shared" si="0"/>
        <v>4</v>
      </c>
      <c r="E14" s="2">
        <f t="shared" si="0"/>
        <v>5</v>
      </c>
      <c r="F14" s="2">
        <f t="shared" si="0"/>
        <v>6</v>
      </c>
      <c r="G14" s="2">
        <f t="shared" si="0"/>
        <v>7</v>
      </c>
      <c r="H14" s="2">
        <f t="shared" si="0"/>
        <v>8</v>
      </c>
      <c r="I14" s="2">
        <f t="shared" si="0"/>
        <v>9</v>
      </c>
      <c r="J14" s="2">
        <f t="shared" si="0"/>
        <v>10</v>
      </c>
      <c r="K14" s="2">
        <f t="shared" si="0"/>
        <v>11</v>
      </c>
      <c r="L14" s="2">
        <f t="shared" si="0"/>
        <v>12</v>
      </c>
      <c r="M14" s="2">
        <f t="shared" si="0"/>
        <v>13</v>
      </c>
      <c r="N14" s="2">
        <f t="shared" si="0"/>
        <v>14</v>
      </c>
      <c r="O14" s="2">
        <f t="shared" si="0"/>
        <v>15</v>
      </c>
      <c r="P14" s="2">
        <f t="shared" si="0"/>
        <v>16</v>
      </c>
      <c r="Q14" s="2">
        <f t="shared" si="0"/>
        <v>17</v>
      </c>
      <c r="R14" s="2">
        <f t="shared" si="0"/>
        <v>18</v>
      </c>
      <c r="S14" s="2">
        <f t="shared" si="0"/>
        <v>19</v>
      </c>
      <c r="T14" s="2">
        <f t="shared" si="0"/>
        <v>20</v>
      </c>
      <c r="U14" s="2">
        <f t="shared" si="0"/>
        <v>21</v>
      </c>
      <c r="V14" s="2">
        <f t="shared" si="0"/>
        <v>22</v>
      </c>
      <c r="W14" s="2">
        <f t="shared" si="0"/>
        <v>23</v>
      </c>
    </row>
    <row r="15" spans="1:27" s="131" customFormat="1" ht="36.75" customHeight="1">
      <c r="A15" s="2"/>
      <c r="B15" s="135" t="s">
        <v>27</v>
      </c>
      <c r="C15" s="2"/>
      <c r="D15" s="2"/>
      <c r="E15" s="2"/>
      <c r="F15" s="2"/>
      <c r="G15" s="2"/>
      <c r="H15" s="2"/>
      <c r="I15" s="2"/>
      <c r="J15" s="2"/>
      <c r="K15" s="2"/>
      <c r="L15" s="2"/>
      <c r="M15" s="2"/>
      <c r="N15" s="2"/>
      <c r="O15" s="2"/>
      <c r="P15" s="2"/>
      <c r="Q15" s="2"/>
      <c r="R15" s="2"/>
      <c r="S15" s="2"/>
      <c r="T15" s="2"/>
      <c r="U15" s="2"/>
      <c r="V15" s="2"/>
      <c r="W15" s="2"/>
    </row>
    <row r="16" spans="1:27" s="131" customFormat="1" ht="47.65" customHeight="1">
      <c r="A16" s="135" t="s">
        <v>513</v>
      </c>
      <c r="B16" s="17" t="s">
        <v>514</v>
      </c>
      <c r="C16" s="2"/>
      <c r="D16" s="2"/>
      <c r="E16" s="2"/>
      <c r="F16" s="2"/>
      <c r="G16" s="2"/>
      <c r="H16" s="2"/>
      <c r="I16" s="2"/>
      <c r="J16" s="2"/>
      <c r="K16" s="2"/>
      <c r="L16" s="2"/>
      <c r="M16" s="2"/>
      <c r="N16" s="2"/>
      <c r="O16" s="2"/>
      <c r="P16" s="2"/>
      <c r="Q16" s="2"/>
      <c r="R16" s="2"/>
      <c r="S16" s="2"/>
      <c r="T16" s="2"/>
      <c r="U16" s="2"/>
      <c r="V16" s="2"/>
      <c r="W16" s="2"/>
    </row>
    <row r="17" spans="1:23" s="94" customFormat="1" ht="61.15" customHeight="1">
      <c r="A17" s="15"/>
      <c r="B17" s="104" t="s">
        <v>201</v>
      </c>
      <c r="C17" s="112"/>
      <c r="D17" s="112"/>
      <c r="E17" s="112"/>
      <c r="F17" s="113"/>
      <c r="G17" s="113"/>
      <c r="H17" s="113"/>
      <c r="I17" s="113"/>
      <c r="J17" s="113"/>
      <c r="K17" s="113"/>
      <c r="L17" s="113"/>
      <c r="M17" s="113"/>
      <c r="N17" s="113"/>
      <c r="O17" s="123"/>
      <c r="P17" s="123"/>
      <c r="Q17" s="123"/>
      <c r="R17" s="123"/>
      <c r="S17" s="123"/>
      <c r="T17" s="123"/>
      <c r="U17" s="123"/>
      <c r="V17" s="123"/>
      <c r="W17" s="123"/>
    </row>
    <row r="18" spans="1:23" s="94" customFormat="1" ht="70.150000000000006" customHeight="1">
      <c r="A18" s="15" t="s">
        <v>28</v>
      </c>
      <c r="B18" s="193" t="s">
        <v>524</v>
      </c>
      <c r="C18" s="112"/>
      <c r="D18" s="112"/>
      <c r="E18" s="112"/>
      <c r="F18" s="113"/>
      <c r="G18" s="113"/>
      <c r="H18" s="113"/>
      <c r="I18" s="113"/>
      <c r="J18" s="113"/>
      <c r="K18" s="113"/>
      <c r="L18" s="113"/>
      <c r="M18" s="113"/>
      <c r="N18" s="113"/>
      <c r="O18" s="123"/>
      <c r="P18" s="123"/>
      <c r="Q18" s="123"/>
      <c r="R18" s="123"/>
      <c r="S18" s="123"/>
      <c r="T18" s="123"/>
      <c r="U18" s="123"/>
      <c r="V18" s="123"/>
      <c r="W18" s="123"/>
    </row>
    <row r="19" spans="1:23" ht="30" customHeight="1">
      <c r="A19" s="111" t="s">
        <v>190</v>
      </c>
      <c r="B19" s="20" t="s">
        <v>191</v>
      </c>
      <c r="C19" s="105"/>
      <c r="D19" s="105"/>
      <c r="E19" s="105"/>
      <c r="F19" s="106"/>
      <c r="G19" s="106"/>
      <c r="H19" s="106"/>
      <c r="I19" s="106"/>
      <c r="J19" s="106"/>
      <c r="K19" s="106"/>
      <c r="L19" s="106"/>
      <c r="M19" s="106"/>
      <c r="N19" s="106"/>
      <c r="O19" s="121"/>
      <c r="P19" s="121"/>
      <c r="Q19" s="121"/>
      <c r="R19" s="121"/>
      <c r="S19" s="121"/>
      <c r="T19" s="121"/>
      <c r="U19" s="121"/>
      <c r="V19" s="121"/>
      <c r="W19" s="121"/>
    </row>
    <row r="20" spans="1:23" ht="30" customHeight="1">
      <c r="A20" s="111" t="s">
        <v>192</v>
      </c>
      <c r="B20" s="189" t="s">
        <v>193</v>
      </c>
      <c r="C20" s="105"/>
      <c r="D20" s="105"/>
      <c r="E20" s="105"/>
      <c r="F20" s="106"/>
      <c r="G20" s="106"/>
      <c r="H20" s="106"/>
      <c r="I20" s="106"/>
      <c r="J20" s="106"/>
      <c r="K20" s="106"/>
      <c r="L20" s="106"/>
      <c r="M20" s="106"/>
      <c r="N20" s="106"/>
      <c r="O20" s="121"/>
      <c r="P20" s="121"/>
      <c r="Q20" s="121"/>
      <c r="R20" s="121"/>
      <c r="S20" s="121"/>
      <c r="T20" s="121"/>
      <c r="U20" s="121"/>
      <c r="V20" s="121"/>
      <c r="W20" s="121"/>
    </row>
    <row r="21" spans="1:23" ht="57" customHeight="1">
      <c r="A21" s="15" t="s">
        <v>30</v>
      </c>
      <c r="B21" s="193" t="s">
        <v>516</v>
      </c>
      <c r="C21" s="105"/>
      <c r="D21" s="105"/>
      <c r="E21" s="105"/>
      <c r="F21" s="106"/>
      <c r="G21" s="106"/>
      <c r="H21" s="106"/>
      <c r="I21" s="106"/>
      <c r="J21" s="106"/>
      <c r="K21" s="106"/>
      <c r="L21" s="106"/>
      <c r="M21" s="106"/>
      <c r="N21" s="106"/>
      <c r="O21" s="121"/>
      <c r="P21" s="121"/>
      <c r="Q21" s="121"/>
      <c r="R21" s="121"/>
      <c r="S21" s="121"/>
      <c r="T21" s="121"/>
      <c r="U21" s="121"/>
      <c r="V21" s="121"/>
      <c r="W21" s="121"/>
    </row>
    <row r="22" spans="1:23" ht="30" customHeight="1">
      <c r="A22" s="111" t="s">
        <v>190</v>
      </c>
      <c r="B22" s="20" t="s">
        <v>191</v>
      </c>
      <c r="C22" s="105"/>
      <c r="D22" s="105"/>
      <c r="E22" s="105"/>
      <c r="F22" s="106"/>
      <c r="G22" s="106"/>
      <c r="H22" s="106"/>
      <c r="I22" s="106"/>
      <c r="J22" s="106"/>
      <c r="K22" s="106"/>
      <c r="L22" s="106"/>
      <c r="M22" s="106"/>
      <c r="N22" s="106"/>
      <c r="O22" s="121"/>
      <c r="P22" s="121"/>
      <c r="Q22" s="121"/>
      <c r="R22" s="121"/>
      <c r="S22" s="121"/>
      <c r="T22" s="121"/>
      <c r="U22" s="121"/>
      <c r="V22" s="121"/>
      <c r="W22" s="121"/>
    </row>
    <row r="23" spans="1:23" ht="30" customHeight="1">
      <c r="A23" s="111" t="s">
        <v>192</v>
      </c>
      <c r="B23" s="189" t="s">
        <v>193</v>
      </c>
      <c r="C23" s="105"/>
      <c r="D23" s="105"/>
      <c r="E23" s="105"/>
      <c r="F23" s="106"/>
      <c r="G23" s="106"/>
      <c r="H23" s="106"/>
      <c r="I23" s="106"/>
      <c r="J23" s="106"/>
      <c r="K23" s="106"/>
      <c r="L23" s="106"/>
      <c r="M23" s="106"/>
      <c r="N23" s="106"/>
      <c r="O23" s="121"/>
      <c r="P23" s="121"/>
      <c r="Q23" s="121"/>
      <c r="R23" s="121"/>
      <c r="S23" s="121"/>
      <c r="T23" s="121"/>
      <c r="U23" s="121"/>
      <c r="V23" s="121"/>
      <c r="W23" s="121"/>
    </row>
    <row r="24" spans="1:23" s="131" customFormat="1" ht="36.75" customHeight="1">
      <c r="A24" s="15" t="s">
        <v>109</v>
      </c>
      <c r="B24" s="17" t="s">
        <v>514</v>
      </c>
      <c r="C24" s="2"/>
      <c r="D24" s="2"/>
      <c r="E24" s="2"/>
      <c r="F24" s="2"/>
      <c r="G24" s="2"/>
      <c r="H24" s="2"/>
      <c r="I24" s="2"/>
      <c r="J24" s="2"/>
      <c r="K24" s="2"/>
      <c r="L24" s="2"/>
      <c r="M24" s="2"/>
      <c r="N24" s="2"/>
      <c r="O24" s="2"/>
      <c r="P24" s="2"/>
      <c r="Q24" s="2"/>
      <c r="R24" s="2"/>
      <c r="S24" s="2"/>
      <c r="T24" s="2"/>
      <c r="U24" s="2"/>
      <c r="V24" s="2"/>
      <c r="W24" s="2"/>
    </row>
    <row r="25" spans="1:23" s="131" customFormat="1" ht="41.25" customHeight="1">
      <c r="A25" s="111"/>
      <c r="B25" s="20" t="s">
        <v>206</v>
      </c>
      <c r="C25" s="2"/>
      <c r="D25" s="2"/>
      <c r="E25" s="2"/>
      <c r="F25" s="2"/>
      <c r="G25" s="2"/>
      <c r="H25" s="2"/>
      <c r="I25" s="2"/>
      <c r="J25" s="2"/>
      <c r="K25" s="2"/>
      <c r="L25" s="2"/>
      <c r="M25" s="2"/>
      <c r="N25" s="2"/>
      <c r="O25" s="2"/>
      <c r="P25" s="2"/>
      <c r="Q25" s="2"/>
      <c r="R25" s="2"/>
      <c r="S25" s="2"/>
      <c r="T25" s="2"/>
      <c r="U25" s="2"/>
      <c r="V25" s="2"/>
      <c r="W25" s="2"/>
    </row>
    <row r="26" spans="1:23" s="131" customFormat="1" ht="13.5" customHeight="1">
      <c r="A26" s="2"/>
      <c r="B26" s="136"/>
      <c r="C26" s="2"/>
      <c r="D26" s="2"/>
      <c r="E26" s="2"/>
      <c r="F26" s="2"/>
      <c r="G26" s="2"/>
      <c r="H26" s="2"/>
      <c r="I26" s="2"/>
      <c r="J26" s="2"/>
      <c r="K26" s="2"/>
      <c r="L26" s="2"/>
      <c r="M26" s="2"/>
      <c r="N26" s="2"/>
      <c r="O26" s="2"/>
      <c r="P26" s="2"/>
      <c r="Q26" s="2"/>
      <c r="R26" s="2"/>
      <c r="S26" s="2"/>
      <c r="T26" s="2"/>
      <c r="U26" s="2"/>
      <c r="V26" s="2"/>
      <c r="W26" s="2"/>
    </row>
    <row r="27" spans="1:23" s="96" customFormat="1" ht="26.25" customHeight="1">
      <c r="A27" s="117"/>
      <c r="B27" s="1294" t="s">
        <v>208</v>
      </c>
      <c r="C27" s="1294"/>
      <c r="D27" s="1294"/>
      <c r="E27" s="1294"/>
      <c r="F27" s="1294"/>
      <c r="G27" s="1294"/>
      <c r="H27" s="1294"/>
      <c r="I27" s="1294"/>
      <c r="J27" s="1294"/>
      <c r="K27" s="1294"/>
      <c r="L27" s="1294"/>
      <c r="M27" s="1294"/>
      <c r="N27" s="1294"/>
      <c r="O27" s="1294"/>
      <c r="P27" s="1294"/>
      <c r="Q27" s="1294"/>
      <c r="R27" s="1294"/>
      <c r="S27" s="1294"/>
      <c r="T27" s="1294"/>
      <c r="U27" s="1294"/>
      <c r="V27" s="1294"/>
      <c r="W27" s="1294"/>
    </row>
    <row r="28" spans="1:23" s="96" customFormat="1" ht="70.900000000000006" customHeight="1">
      <c r="A28" s="117"/>
      <c r="B28" s="1295" t="s">
        <v>517</v>
      </c>
      <c r="C28" s="1296"/>
      <c r="D28" s="1296"/>
      <c r="E28" s="1296"/>
      <c r="F28" s="1296"/>
      <c r="G28" s="1296"/>
      <c r="H28" s="1296"/>
      <c r="I28" s="1296"/>
      <c r="J28" s="1296"/>
      <c r="K28" s="1296"/>
      <c r="L28" s="1296"/>
      <c r="M28" s="1296"/>
      <c r="N28" s="1296"/>
      <c r="O28" s="1296"/>
      <c r="P28" s="1296"/>
      <c r="Q28" s="1296"/>
      <c r="R28" s="1296"/>
      <c r="S28" s="1296"/>
      <c r="T28" s="1296"/>
      <c r="U28" s="1296"/>
      <c r="V28" s="1296"/>
      <c r="W28" s="1296"/>
    </row>
    <row r="29" spans="1:23" s="96" customFormat="1" ht="31.9" customHeight="1">
      <c r="A29" s="117"/>
      <c r="B29" s="1297" t="s">
        <v>518</v>
      </c>
      <c r="C29" s="1297"/>
      <c r="D29" s="1297"/>
      <c r="E29" s="1297"/>
      <c r="F29" s="1297"/>
      <c r="G29" s="1297"/>
      <c r="H29" s="1297"/>
      <c r="I29" s="1297"/>
      <c r="J29" s="1297"/>
      <c r="K29" s="1297"/>
      <c r="L29" s="1297"/>
      <c r="M29" s="1297"/>
      <c r="N29" s="1297"/>
      <c r="O29" s="1297"/>
      <c r="P29" s="1297"/>
      <c r="Q29" s="1297"/>
      <c r="R29" s="1297"/>
      <c r="S29" s="1297"/>
      <c r="T29" s="1297"/>
      <c r="U29" s="1297"/>
      <c r="V29" s="1297"/>
      <c r="W29" s="1297"/>
    </row>
    <row r="30" spans="1:23" s="96" customFormat="1" ht="69" customHeight="1">
      <c r="A30" s="117"/>
      <c r="B30" s="1247" t="s">
        <v>525</v>
      </c>
      <c r="C30" s="1248"/>
      <c r="D30" s="1248"/>
      <c r="E30" s="1248"/>
      <c r="F30" s="1248"/>
      <c r="G30" s="1248"/>
      <c r="H30" s="1248"/>
      <c r="I30" s="1248"/>
      <c r="J30" s="1248"/>
      <c r="K30" s="1248"/>
      <c r="L30" s="1248"/>
      <c r="M30" s="1248"/>
      <c r="N30" s="1248"/>
      <c r="O30" s="1248"/>
      <c r="P30" s="1248"/>
      <c r="Q30" s="1248"/>
      <c r="R30" s="1248"/>
      <c r="S30" s="1248"/>
      <c r="T30" s="1248"/>
      <c r="U30" s="1248"/>
      <c r="V30" s="1248"/>
      <c r="W30" s="1248"/>
    </row>
    <row r="31" spans="1:23" ht="20.25">
      <c r="A31" s="92"/>
      <c r="B31" s="192" t="s">
        <v>526</v>
      </c>
      <c r="C31" s="92"/>
      <c r="D31" s="92"/>
      <c r="E31" s="92"/>
      <c r="F31" s="92"/>
      <c r="G31" s="92"/>
      <c r="H31" s="92"/>
      <c r="I31" s="92"/>
      <c r="J31" s="92"/>
      <c r="K31" s="92"/>
      <c r="L31" s="92"/>
      <c r="M31" s="92"/>
      <c r="N31" s="92"/>
      <c r="O31" s="92"/>
      <c r="P31" s="92"/>
      <c r="Q31" s="92"/>
      <c r="R31" s="92"/>
      <c r="S31" s="92"/>
      <c r="T31" s="92"/>
      <c r="U31" s="92"/>
      <c r="V31" s="92"/>
      <c r="W31" s="92"/>
    </row>
    <row r="32" spans="1:23">
      <c r="A32" s="92"/>
      <c r="B32" s="92"/>
      <c r="C32" s="92"/>
      <c r="D32" s="92"/>
      <c r="E32" s="92"/>
      <c r="F32" s="92"/>
      <c r="G32" s="92"/>
      <c r="H32" s="92"/>
      <c r="I32" s="92"/>
      <c r="J32" s="92"/>
      <c r="K32" s="92"/>
      <c r="L32" s="92"/>
      <c r="M32" s="92"/>
      <c r="N32" s="92"/>
      <c r="O32" s="92"/>
      <c r="P32" s="92"/>
      <c r="Q32" s="92"/>
      <c r="R32" s="92"/>
      <c r="S32" s="92"/>
      <c r="T32" s="92"/>
      <c r="U32" s="92"/>
      <c r="V32" s="92"/>
      <c r="W32" s="92"/>
    </row>
    <row r="33" s="92" customFormat="1"/>
    <row r="34" s="92" customFormat="1"/>
    <row r="35" s="92" customFormat="1"/>
    <row r="36" s="92" customFormat="1"/>
    <row r="37" s="92" customFormat="1"/>
    <row r="38" s="92" customFormat="1"/>
    <row r="39" s="92" customFormat="1"/>
    <row r="40" s="92" customFormat="1"/>
    <row r="41" s="92" customFormat="1"/>
    <row r="42" s="92" customFormat="1"/>
    <row r="43" s="92" customFormat="1"/>
    <row r="44" s="92" customFormat="1"/>
    <row r="45" s="92" customFormat="1"/>
    <row r="46" s="92" customFormat="1"/>
    <row r="47" s="92" customFormat="1"/>
    <row r="48" s="92" customFormat="1"/>
    <row r="49" s="92" customFormat="1"/>
    <row r="50" s="92" customFormat="1"/>
    <row r="51" s="92" customFormat="1"/>
    <row r="52" s="92" customFormat="1"/>
    <row r="53" s="92" customFormat="1"/>
    <row r="54" s="92" customFormat="1"/>
    <row r="55" s="92" customFormat="1"/>
    <row r="56" s="92" customFormat="1"/>
    <row r="57" s="92" customFormat="1"/>
    <row r="58" s="92" customFormat="1"/>
    <row r="59" s="92" customFormat="1"/>
    <row r="60" s="92" customFormat="1"/>
    <row r="61" s="92" customFormat="1"/>
    <row r="62" s="92" customFormat="1"/>
    <row r="63" s="92" customFormat="1"/>
    <row r="64" s="92" customFormat="1"/>
    <row r="65" s="92" customFormat="1"/>
    <row r="66" s="92" customFormat="1"/>
    <row r="67" s="92" customFormat="1"/>
    <row r="68" s="92" customFormat="1"/>
    <row r="69" s="92" customFormat="1"/>
    <row r="70" s="92" customFormat="1"/>
    <row r="71" s="92" customFormat="1"/>
    <row r="72" s="92" customFormat="1"/>
    <row r="73" s="92" customFormat="1"/>
    <row r="74" s="92" customFormat="1"/>
    <row r="75" s="92" customFormat="1"/>
    <row r="76" s="92" customFormat="1"/>
    <row r="77" s="92" customFormat="1"/>
    <row r="78" s="92" customFormat="1"/>
    <row r="79" s="92" customFormat="1"/>
    <row r="80" s="92" customFormat="1"/>
    <row r="81" s="92" customFormat="1"/>
    <row r="82" s="92" customFormat="1"/>
    <row r="83" s="92" customFormat="1"/>
    <row r="84" s="92" customFormat="1"/>
    <row r="85" s="92" customFormat="1"/>
    <row r="86" s="92" customFormat="1"/>
    <row r="87" s="92" customFormat="1"/>
    <row r="88" s="92" customFormat="1"/>
    <row r="89" s="92" customFormat="1"/>
    <row r="90" s="92" customFormat="1"/>
    <row r="91" s="92" customFormat="1"/>
    <row r="92" s="92" customFormat="1"/>
    <row r="93" s="92" customFormat="1"/>
    <row r="94" s="92" customFormat="1"/>
    <row r="95" s="92" customFormat="1"/>
    <row r="96" s="92" customFormat="1"/>
    <row r="97" s="92" customFormat="1"/>
    <row r="98" s="92" customFormat="1"/>
    <row r="99" s="92" customFormat="1"/>
    <row r="100" s="92" customFormat="1"/>
    <row r="101" s="92" customFormat="1"/>
    <row r="102" s="92" customFormat="1"/>
    <row r="103" s="92" customFormat="1"/>
    <row r="104" s="92" customFormat="1"/>
    <row r="105" s="92" customFormat="1"/>
    <row r="106" s="92" customFormat="1"/>
    <row r="107" s="92" customFormat="1"/>
    <row r="108" s="92" customFormat="1"/>
    <row r="109" s="92" customFormat="1"/>
    <row r="110" s="92" customFormat="1"/>
    <row r="111" s="92" customFormat="1"/>
    <row r="112" s="92" customFormat="1"/>
    <row r="113" s="92" customFormat="1"/>
    <row r="114" s="92" customFormat="1"/>
    <row r="115" s="92" customFormat="1"/>
    <row r="116" s="92" customFormat="1"/>
    <row r="117" s="92" customFormat="1"/>
    <row r="118" s="92" customFormat="1"/>
    <row r="119" s="92" customFormat="1"/>
    <row r="120" s="92" customFormat="1"/>
    <row r="121" s="92" customFormat="1"/>
    <row r="122" s="92" customFormat="1"/>
    <row r="123" s="92" customFormat="1"/>
    <row r="124" s="92" customFormat="1"/>
    <row r="125" s="92" customFormat="1"/>
    <row r="126" s="92" customFormat="1"/>
    <row r="127" s="92" customFormat="1"/>
    <row r="128" s="92" customFormat="1"/>
    <row r="129" s="92" customFormat="1"/>
    <row r="130" s="92" customFormat="1"/>
    <row r="131" s="92" customFormat="1"/>
    <row r="132" s="92" customFormat="1"/>
    <row r="133" s="92" customFormat="1"/>
    <row r="134" s="92" customFormat="1"/>
    <row r="135" s="92" customFormat="1"/>
    <row r="136" s="92" customFormat="1"/>
    <row r="137" s="92" customFormat="1"/>
    <row r="138" s="92" customFormat="1"/>
    <row r="139" s="92" customFormat="1"/>
    <row r="140" s="92" customFormat="1"/>
    <row r="141" s="92" customFormat="1"/>
    <row r="142" s="92" customFormat="1"/>
    <row r="143" s="92" customFormat="1"/>
    <row r="144" s="92" customFormat="1"/>
    <row r="145" s="92" customFormat="1"/>
    <row r="146" s="92" customFormat="1"/>
    <row r="147" s="92" customFormat="1"/>
    <row r="148" s="92" customFormat="1"/>
    <row r="149" s="92" customFormat="1"/>
    <row r="150" s="92" customFormat="1"/>
    <row r="151" s="92" customFormat="1"/>
    <row r="152" s="92" customFormat="1"/>
    <row r="153" s="92" customFormat="1"/>
    <row r="154" s="92" customFormat="1"/>
    <row r="155" s="92" customFormat="1"/>
    <row r="156" s="92" customFormat="1"/>
    <row r="157" s="92" customFormat="1"/>
    <row r="158" s="92" customFormat="1"/>
    <row r="159" s="92" customFormat="1"/>
    <row r="160" s="92" customFormat="1"/>
    <row r="161" s="92" customFormat="1"/>
    <row r="162" s="92" customFormat="1"/>
    <row r="163" s="92" customFormat="1"/>
    <row r="164" s="92" customFormat="1"/>
    <row r="165" s="92" customFormat="1"/>
    <row r="166" s="92" customFormat="1"/>
    <row r="167" s="92" customFormat="1"/>
    <row r="168" s="92" customFormat="1"/>
    <row r="169" s="92" customFormat="1"/>
    <row r="170" s="92" customFormat="1"/>
    <row r="171" s="92" customFormat="1"/>
    <row r="172" s="92" customFormat="1"/>
    <row r="173" s="92" customFormat="1"/>
    <row r="174" s="92" customFormat="1"/>
    <row r="175" s="92" customFormat="1"/>
    <row r="176" s="92" customFormat="1"/>
    <row r="177" s="92" customFormat="1"/>
    <row r="178" s="92" customFormat="1"/>
    <row r="179" s="92" customFormat="1"/>
    <row r="180" s="92" customFormat="1"/>
    <row r="181" s="92" customFormat="1"/>
    <row r="182" s="92" customFormat="1"/>
    <row r="183" s="92" customFormat="1"/>
    <row r="184" s="92" customFormat="1"/>
    <row r="185" s="92" customFormat="1"/>
    <row r="186" s="92" customFormat="1"/>
    <row r="187" s="92" customFormat="1"/>
    <row r="188" s="92" customFormat="1"/>
    <row r="189" s="92" customFormat="1"/>
    <row r="190" s="92" customFormat="1"/>
    <row r="191" s="92" customFormat="1"/>
    <row r="192" s="92" customFormat="1"/>
    <row r="193" s="92" customFormat="1"/>
    <row r="194" s="92" customFormat="1"/>
    <row r="195" s="92" customFormat="1"/>
    <row r="196" s="92" customFormat="1"/>
    <row r="197" s="92" customFormat="1"/>
    <row r="198" s="92" customFormat="1"/>
    <row r="199" s="92" customFormat="1"/>
    <row r="200" s="92" customFormat="1"/>
    <row r="201" s="92" customFormat="1"/>
    <row r="202" s="92" customFormat="1"/>
    <row r="203" s="92" customFormat="1"/>
    <row r="204" s="92" customFormat="1"/>
    <row r="205" s="92" customFormat="1"/>
    <row r="206" s="92" customFormat="1"/>
    <row r="207" s="92" customFormat="1"/>
    <row r="208" s="92" customFormat="1"/>
    <row r="209" s="92" customFormat="1"/>
    <row r="210" s="92" customFormat="1"/>
    <row r="211" s="92" customFormat="1"/>
    <row r="212" s="92" customFormat="1"/>
    <row r="213" s="92" customFormat="1"/>
    <row r="214" s="92" customFormat="1"/>
    <row r="215" s="92" customFormat="1"/>
    <row r="216" s="92" customFormat="1"/>
    <row r="217" s="92" customFormat="1"/>
    <row r="218" s="92" customFormat="1"/>
    <row r="219" s="92" customFormat="1"/>
    <row r="220" s="92" customFormat="1"/>
    <row r="221" s="92" customFormat="1"/>
    <row r="222" s="92" customFormat="1"/>
    <row r="223" s="92" customFormat="1"/>
    <row r="224" s="92" customFormat="1"/>
    <row r="225" s="92" customFormat="1"/>
    <row r="226" s="92" customFormat="1"/>
    <row r="227" s="92" customFormat="1"/>
    <row r="228" s="92" customFormat="1"/>
    <row r="229" s="92" customFormat="1"/>
    <row r="230" s="92" customFormat="1"/>
    <row r="231" s="92" customFormat="1"/>
    <row r="232" s="92" customFormat="1"/>
    <row r="233" s="92" customFormat="1"/>
    <row r="234" s="92" customFormat="1"/>
    <row r="235" s="92" customFormat="1"/>
    <row r="236" s="92" customFormat="1"/>
    <row r="237" s="92" customFormat="1"/>
    <row r="238" s="92" customFormat="1"/>
    <row r="239" s="92" customFormat="1"/>
    <row r="240" s="92" customFormat="1"/>
    <row r="241" s="92" customFormat="1"/>
    <row r="242" s="92" customFormat="1"/>
    <row r="243" s="92" customFormat="1"/>
    <row r="244" s="92" customFormat="1"/>
    <row r="245" s="92" customFormat="1"/>
    <row r="246" s="92" customFormat="1"/>
    <row r="247" s="92" customFormat="1"/>
    <row r="248" s="92" customFormat="1"/>
    <row r="249" s="92" customFormat="1"/>
    <row r="250" s="92" customFormat="1"/>
    <row r="251" s="92" customFormat="1"/>
    <row r="252" s="92" customFormat="1"/>
    <row r="253" s="92" customFormat="1"/>
    <row r="254" s="92" customFormat="1"/>
    <row r="255" s="92" customFormat="1"/>
    <row r="256" s="92" customFormat="1"/>
    <row r="257" s="92" customFormat="1"/>
    <row r="258" s="92" customFormat="1"/>
    <row r="259" s="92" customFormat="1"/>
    <row r="260" s="92" customFormat="1"/>
    <row r="261" s="92" customFormat="1"/>
    <row r="262" s="92" customFormat="1"/>
    <row r="263" s="92" customFormat="1"/>
    <row r="264" s="92" customFormat="1"/>
    <row r="265" s="92" customFormat="1"/>
    <row r="266" s="92" customFormat="1"/>
    <row r="267" s="92" customFormat="1"/>
    <row r="268" s="92" customFormat="1"/>
    <row r="269" s="92" customFormat="1"/>
    <row r="270" s="92" customFormat="1"/>
    <row r="271" s="92" customFormat="1"/>
    <row r="272" s="92" customFormat="1"/>
    <row r="273" s="92" customFormat="1"/>
    <row r="274" s="92" customFormat="1"/>
    <row r="275" s="92" customFormat="1"/>
    <row r="276" s="92" customFormat="1"/>
    <row r="277" s="92" customFormat="1"/>
    <row r="278" s="92" customFormat="1"/>
    <row r="279" s="92" customFormat="1"/>
    <row r="280" s="92" customFormat="1"/>
    <row r="281" s="92" customFormat="1"/>
    <row r="282" s="92" customFormat="1"/>
    <row r="283" s="92" customFormat="1"/>
    <row r="284" s="92" customFormat="1"/>
    <row r="285" s="92" customFormat="1"/>
    <row r="286" s="92" customFormat="1"/>
    <row r="287" s="92" customFormat="1"/>
    <row r="288" s="92" customFormat="1"/>
    <row r="289" s="92" customFormat="1"/>
    <row r="290" s="92" customFormat="1"/>
    <row r="291" s="92" customFormat="1"/>
    <row r="292" s="92" customFormat="1"/>
    <row r="293" s="92" customFormat="1"/>
    <row r="294" s="92" customFormat="1"/>
    <row r="295" s="92" customFormat="1"/>
    <row r="296" s="92" customFormat="1"/>
    <row r="297" s="92" customFormat="1"/>
    <row r="298" s="92" customFormat="1"/>
    <row r="299" s="92" customFormat="1"/>
    <row r="300" s="92" customFormat="1"/>
    <row r="301" s="92" customFormat="1"/>
    <row r="302" s="92" customFormat="1"/>
    <row r="303" s="92" customFormat="1"/>
    <row r="304" s="92" customFormat="1"/>
    <row r="305" s="92" customFormat="1"/>
    <row r="306" s="92" customFormat="1"/>
    <row r="307" s="92" customFormat="1"/>
    <row r="308" s="92" customFormat="1"/>
    <row r="309" s="92" customFormat="1"/>
    <row r="310" s="92" customFormat="1"/>
    <row r="311" s="92" customFormat="1"/>
    <row r="312" s="92" customFormat="1"/>
    <row r="313" s="92" customFormat="1"/>
    <row r="314" s="92" customFormat="1"/>
    <row r="315" s="92" customFormat="1"/>
    <row r="316" s="92" customFormat="1"/>
    <row r="317" s="92" customFormat="1"/>
    <row r="318" s="92" customFormat="1"/>
  </sheetData>
  <mergeCells count="46">
    <mergeCell ref="A1:J1"/>
    <mergeCell ref="O1:W1"/>
    <mergeCell ref="A2:J2"/>
    <mergeCell ref="O2:W2"/>
    <mergeCell ref="A3:W3"/>
    <mergeCell ref="T8:V8"/>
    <mergeCell ref="Q9:S9"/>
    <mergeCell ref="U9:V9"/>
    <mergeCell ref="A4:W4"/>
    <mergeCell ref="A5:W5"/>
    <mergeCell ref="F6:N6"/>
    <mergeCell ref="O6:V6"/>
    <mergeCell ref="G7:N7"/>
    <mergeCell ref="P7:V7"/>
    <mergeCell ref="I11:J11"/>
    <mergeCell ref="L11:N11"/>
    <mergeCell ref="M12:N12"/>
    <mergeCell ref="B27:W27"/>
    <mergeCell ref="B28:W28"/>
    <mergeCell ref="Q10:Q13"/>
    <mergeCell ref="R10:R13"/>
    <mergeCell ref="S10:S13"/>
    <mergeCell ref="T9:T13"/>
    <mergeCell ref="U10:U13"/>
    <mergeCell ref="V10:V13"/>
    <mergeCell ref="W6:W13"/>
    <mergeCell ref="H9:J10"/>
    <mergeCell ref="K9:N10"/>
    <mergeCell ref="H8:N8"/>
    <mergeCell ref="P8:S8"/>
    <mergeCell ref="B29:W29"/>
    <mergeCell ref="B30:W30"/>
    <mergeCell ref="A6:A13"/>
    <mergeCell ref="B6:B13"/>
    <mergeCell ref="C6:C13"/>
    <mergeCell ref="D6:D13"/>
    <mergeCell ref="E6:E13"/>
    <mergeCell ref="F7:F13"/>
    <mergeCell ref="G8:G13"/>
    <mergeCell ref="H11:H13"/>
    <mergeCell ref="I12:I13"/>
    <mergeCell ref="J12:J13"/>
    <mergeCell ref="K11:K13"/>
    <mergeCell ref="L12:L13"/>
    <mergeCell ref="O7:O13"/>
    <mergeCell ref="P9:P13"/>
  </mergeCells>
  <printOptions horizontalCentered="1"/>
  <pageMargins left="0.23622047244094499" right="0.23622047244094499" top="0.74803149606299202" bottom="0.74803149606299202" header="0.31496062992126" footer="0.31496062992126"/>
  <pageSetup paperSize="9" scale="55" fitToWidth="0" fitToHeight="0" orientation="landscape"/>
  <headerFooter alignWithMargins="0">
    <oddFooter>&amp;R&amp;14&amp;P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380"/>
  <sheetViews>
    <sheetView zoomScaleSheetLayoutView="75" zoomScalePageLayoutView="50" workbookViewId="0">
      <selection sqref="A1:U1"/>
    </sheetView>
  </sheetViews>
  <sheetFormatPr defaultColWidth="8.7109375" defaultRowHeight="12.75"/>
  <cols>
    <col min="1" max="1" width="5.140625" style="98" customWidth="1"/>
    <col min="2" max="2" width="26.42578125" style="99" customWidth="1"/>
    <col min="3" max="4" width="7.42578125" style="100" customWidth="1"/>
    <col min="5" max="5" width="8.42578125" style="100" customWidth="1"/>
    <col min="6" max="6" width="10.140625" style="97" customWidth="1"/>
    <col min="7" max="7" width="8.140625" style="97" customWidth="1"/>
    <col min="8" max="8" width="8.7109375" style="97" customWidth="1"/>
    <col min="9" max="9" width="9.28515625" style="97" hidden="1" customWidth="1"/>
    <col min="10" max="10" width="7.7109375" style="97" hidden="1" customWidth="1"/>
    <col min="11" max="14" width="8.7109375" style="97" hidden="1" customWidth="1"/>
    <col min="15" max="15" width="9.42578125" style="97" hidden="1" customWidth="1"/>
    <col min="16" max="16" width="7.7109375" style="97" hidden="1" customWidth="1"/>
    <col min="17" max="21" width="10.7109375" style="97" hidden="1" customWidth="1"/>
    <col min="22" max="23" width="7.42578125" style="97" hidden="1" customWidth="1"/>
    <col min="24" max="24" width="9.140625" style="97" customWidth="1"/>
    <col min="25" max="25" width="8.28515625" style="97" customWidth="1"/>
    <col min="26" max="26" width="11.7109375" style="97" customWidth="1"/>
    <col min="27" max="31" width="8.28515625" style="97" customWidth="1"/>
    <col min="32" max="33" width="8.42578125" style="97" customWidth="1"/>
    <col min="34" max="34" width="10.140625" style="97" customWidth="1"/>
    <col min="35" max="36" width="9.140625" style="97" customWidth="1"/>
    <col min="37" max="37" width="11.42578125" style="97" customWidth="1"/>
    <col min="38" max="38" width="10.140625" style="97" customWidth="1"/>
    <col min="39" max="39" width="8.7109375" style="97" customWidth="1"/>
    <col min="40" max="40" width="9.42578125" style="97" customWidth="1"/>
    <col min="41" max="41" width="8.7109375" style="97" customWidth="1"/>
    <col min="42" max="16384" width="8.7109375" style="101"/>
  </cols>
  <sheetData>
    <row r="1" spans="1:46" ht="18" customHeight="1">
      <c r="A1" s="1307" t="s">
        <v>530</v>
      </c>
      <c r="B1" s="1307"/>
      <c r="C1" s="1307"/>
      <c r="D1" s="1307"/>
      <c r="E1" s="1307"/>
      <c r="F1" s="1307"/>
      <c r="G1" s="1307"/>
      <c r="H1" s="1307"/>
      <c r="I1" s="1307"/>
      <c r="J1" s="1307"/>
      <c r="K1" s="1307"/>
      <c r="L1" s="1307"/>
      <c r="M1" s="1307"/>
      <c r="N1" s="1307"/>
      <c r="O1" s="1307"/>
      <c r="P1" s="1307"/>
      <c r="Q1" s="1307"/>
      <c r="R1" s="1307"/>
      <c r="S1" s="1307"/>
      <c r="T1" s="1307"/>
      <c r="U1" s="1307"/>
      <c r="V1" s="26"/>
      <c r="W1" s="26"/>
      <c r="X1" s="26"/>
      <c r="Y1" s="26"/>
      <c r="Z1" s="26"/>
      <c r="AA1" s="26"/>
      <c r="AB1" s="26"/>
      <c r="AC1" s="26"/>
      <c r="AD1" s="26"/>
      <c r="AE1" s="26"/>
      <c r="AF1" s="26"/>
      <c r="AG1" s="26"/>
      <c r="AH1" s="26"/>
      <c r="AI1" s="1202" t="s">
        <v>1</v>
      </c>
      <c r="AJ1" s="1202"/>
      <c r="AK1" s="1202"/>
      <c r="AL1" s="1202"/>
      <c r="AM1" s="1202"/>
      <c r="AN1" s="1202"/>
      <c r="AO1" s="1202"/>
    </row>
    <row r="2" spans="1:46" ht="18" customHeight="1">
      <c r="A2" s="1203" t="s">
        <v>2</v>
      </c>
      <c r="B2" s="1203"/>
      <c r="C2" s="1203"/>
      <c r="D2" s="1203"/>
      <c r="E2" s="1203"/>
      <c r="F2" s="1203"/>
      <c r="G2" s="1203"/>
      <c r="H2" s="1203"/>
      <c r="I2" s="1203"/>
      <c r="J2" s="1203"/>
      <c r="K2" s="1203"/>
      <c r="L2" s="1203"/>
      <c r="M2" s="1203"/>
      <c r="N2" s="1203"/>
      <c r="O2" s="1203"/>
      <c r="P2" s="1203"/>
      <c r="Q2" s="1203"/>
      <c r="R2" s="1203"/>
      <c r="S2" s="1203"/>
      <c r="T2" s="1203"/>
      <c r="U2" s="1203"/>
      <c r="V2" s="26"/>
      <c r="W2" s="26"/>
      <c r="X2" s="26"/>
      <c r="Y2" s="26"/>
      <c r="Z2" s="26"/>
      <c r="AA2" s="26"/>
      <c r="AB2" s="26"/>
      <c r="AC2" s="26"/>
      <c r="AD2" s="26"/>
      <c r="AE2" s="26"/>
      <c r="AF2" s="26"/>
      <c r="AG2" s="26"/>
      <c r="AH2" s="26"/>
      <c r="AI2" s="1204" t="s">
        <v>531</v>
      </c>
      <c r="AJ2" s="1204"/>
      <c r="AK2" s="1204"/>
      <c r="AL2" s="1204"/>
      <c r="AM2" s="1204"/>
      <c r="AN2" s="1204"/>
      <c r="AO2" s="1204"/>
    </row>
    <row r="3" spans="1:46" s="86" customFormat="1" ht="26.65" customHeight="1">
      <c r="A3" s="1310" t="s">
        <v>532</v>
      </c>
      <c r="B3" s="1310"/>
      <c r="C3" s="1310"/>
      <c r="D3" s="1310"/>
      <c r="E3" s="1310"/>
      <c r="F3" s="1310"/>
      <c r="G3" s="1310"/>
      <c r="H3" s="1310"/>
      <c r="I3" s="1310"/>
      <c r="J3" s="1310"/>
      <c r="K3" s="1310"/>
      <c r="L3" s="1310"/>
      <c r="M3" s="1310"/>
      <c r="N3" s="1310"/>
      <c r="O3" s="1310"/>
      <c r="P3" s="1310"/>
      <c r="Q3" s="1310"/>
      <c r="R3" s="1310"/>
      <c r="S3" s="1310"/>
      <c r="T3" s="1310"/>
      <c r="U3" s="1310"/>
      <c r="V3" s="1310"/>
      <c r="W3" s="1310"/>
      <c r="X3" s="1310"/>
      <c r="Y3" s="1310"/>
      <c r="Z3" s="1310"/>
      <c r="AA3" s="1310"/>
      <c r="AB3" s="1310"/>
      <c r="AC3" s="1310"/>
      <c r="AD3" s="1310"/>
      <c r="AE3" s="1310"/>
      <c r="AF3" s="1310"/>
      <c r="AG3" s="1310"/>
      <c r="AH3" s="1310"/>
      <c r="AI3" s="1310"/>
      <c r="AJ3" s="1310"/>
      <c r="AK3" s="1310"/>
      <c r="AL3" s="1310"/>
      <c r="AM3" s="1310"/>
      <c r="AN3" s="1310"/>
      <c r="AO3" s="1310"/>
      <c r="AP3" s="125"/>
      <c r="AQ3" s="125"/>
      <c r="AR3" s="125"/>
      <c r="AS3" s="125"/>
      <c r="AT3" s="125"/>
    </row>
    <row r="4" spans="1:46" s="87" customFormat="1" ht="40.9" customHeight="1">
      <c r="A4" s="1307" t="s">
        <v>533</v>
      </c>
      <c r="B4" s="1307"/>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c r="AK4" s="1307"/>
      <c r="AL4" s="1307"/>
      <c r="AM4" s="1307"/>
      <c r="AN4" s="1307"/>
      <c r="AO4" s="1307"/>
    </row>
    <row r="5" spans="1:46" s="87" customFormat="1" ht="31.15" customHeight="1">
      <c r="A5" s="1308" t="s">
        <v>6</v>
      </c>
      <c r="B5" s="1308"/>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c r="AM5" s="1308"/>
      <c r="AN5" s="1308"/>
      <c r="AO5" s="1308"/>
    </row>
    <row r="6" spans="1:46" s="88" customFormat="1" ht="31.15" customHeight="1">
      <c r="A6" s="1302" t="s">
        <v>7</v>
      </c>
      <c r="B6" s="1302" t="s">
        <v>69</v>
      </c>
      <c r="C6" s="1302" t="s">
        <v>214</v>
      </c>
      <c r="D6" s="1302" t="s">
        <v>215</v>
      </c>
      <c r="E6" s="1302" t="s">
        <v>173</v>
      </c>
      <c r="F6" s="1302" t="s">
        <v>496</v>
      </c>
      <c r="G6" s="1302"/>
      <c r="H6" s="1302"/>
      <c r="I6" s="1302" t="s">
        <v>534</v>
      </c>
      <c r="J6" s="1302"/>
      <c r="K6" s="1302"/>
      <c r="L6" s="1302"/>
      <c r="M6" s="1302"/>
      <c r="N6" s="1302"/>
      <c r="O6" s="1302" t="s">
        <v>535</v>
      </c>
      <c r="P6" s="1302"/>
      <c r="Q6" s="1302"/>
      <c r="R6" s="1302" t="s">
        <v>536</v>
      </c>
      <c r="S6" s="1302"/>
      <c r="T6" s="1302" t="s">
        <v>537</v>
      </c>
      <c r="U6" s="1302"/>
      <c r="V6" s="1302" t="s">
        <v>538</v>
      </c>
      <c r="W6" s="1302"/>
      <c r="X6" s="1309" t="s">
        <v>9</v>
      </c>
      <c r="Y6" s="1309"/>
      <c r="Z6" s="1309"/>
      <c r="AA6" s="1309"/>
      <c r="AB6" s="1309"/>
      <c r="AC6" s="1309"/>
      <c r="AD6" s="1309"/>
      <c r="AE6" s="1309"/>
      <c r="AF6" s="1309"/>
      <c r="AG6" s="1309"/>
      <c r="AH6" s="1302" t="s">
        <v>15</v>
      </c>
      <c r="AI6" s="1302"/>
      <c r="AJ6" s="1302"/>
      <c r="AK6" s="1302"/>
      <c r="AL6" s="1302" t="s">
        <v>539</v>
      </c>
      <c r="AM6" s="1302"/>
      <c r="AN6" s="1302"/>
      <c r="AO6" s="1302" t="s">
        <v>11</v>
      </c>
    </row>
    <row r="7" spans="1:46" s="89" customFormat="1" ht="106.15" customHeight="1">
      <c r="A7" s="1302"/>
      <c r="B7" s="1302"/>
      <c r="C7" s="1302"/>
      <c r="D7" s="1302"/>
      <c r="E7" s="1302"/>
      <c r="F7" s="1302"/>
      <c r="G7" s="1302"/>
      <c r="H7" s="1302"/>
      <c r="I7" s="1302"/>
      <c r="J7" s="1302"/>
      <c r="K7" s="1302"/>
      <c r="L7" s="1302"/>
      <c r="M7" s="1302"/>
      <c r="N7" s="1302"/>
      <c r="O7" s="1302"/>
      <c r="P7" s="1302"/>
      <c r="Q7" s="1302"/>
      <c r="R7" s="1302"/>
      <c r="S7" s="1302"/>
      <c r="T7" s="1302"/>
      <c r="U7" s="1302"/>
      <c r="V7" s="1302"/>
      <c r="W7" s="1302"/>
      <c r="X7" s="1302" t="s">
        <v>540</v>
      </c>
      <c r="Y7" s="1302"/>
      <c r="Z7" s="1302" t="s">
        <v>541</v>
      </c>
      <c r="AA7" s="1302" t="s">
        <v>542</v>
      </c>
      <c r="AB7" s="1302"/>
      <c r="AC7" s="1302" t="s">
        <v>543</v>
      </c>
      <c r="AD7" s="1302"/>
      <c r="AE7" s="1304" t="s">
        <v>544</v>
      </c>
      <c r="AF7" s="1302" t="s">
        <v>14</v>
      </c>
      <c r="AG7" s="1302"/>
      <c r="AH7" s="1302"/>
      <c r="AI7" s="1302"/>
      <c r="AJ7" s="1302"/>
      <c r="AK7" s="1302"/>
      <c r="AL7" s="1302"/>
      <c r="AM7" s="1302"/>
      <c r="AN7" s="1302"/>
      <c r="AO7" s="1302"/>
    </row>
    <row r="8" spans="1:46" s="89" customFormat="1" ht="54" customHeight="1">
      <c r="A8" s="1302"/>
      <c r="B8" s="1302"/>
      <c r="C8" s="1302"/>
      <c r="D8" s="1302"/>
      <c r="E8" s="1302"/>
      <c r="F8" s="1302" t="s">
        <v>545</v>
      </c>
      <c r="G8" s="1302" t="s">
        <v>73</v>
      </c>
      <c r="H8" s="1302" t="s">
        <v>546</v>
      </c>
      <c r="I8" s="1302" t="s">
        <v>545</v>
      </c>
      <c r="J8" s="1302" t="s">
        <v>73</v>
      </c>
      <c r="K8" s="1302" t="s">
        <v>546</v>
      </c>
      <c r="L8" s="1302"/>
      <c r="M8" s="1302"/>
      <c r="N8" s="1302"/>
      <c r="O8" s="1302" t="s">
        <v>545</v>
      </c>
      <c r="P8" s="1302" t="s">
        <v>73</v>
      </c>
      <c r="Q8" s="1302" t="s">
        <v>547</v>
      </c>
      <c r="R8" s="1302" t="s">
        <v>17</v>
      </c>
      <c r="S8" s="1304" t="s">
        <v>548</v>
      </c>
      <c r="T8" s="1302" t="s">
        <v>17</v>
      </c>
      <c r="U8" s="1304" t="s">
        <v>548</v>
      </c>
      <c r="V8" s="1302" t="s">
        <v>17</v>
      </c>
      <c r="W8" s="1304" t="s">
        <v>548</v>
      </c>
      <c r="X8" s="1302" t="s">
        <v>17</v>
      </c>
      <c r="Y8" s="1304" t="s">
        <v>547</v>
      </c>
      <c r="Z8" s="1302"/>
      <c r="AA8" s="1302" t="s">
        <v>17</v>
      </c>
      <c r="AB8" s="1302" t="s">
        <v>549</v>
      </c>
      <c r="AC8" s="1302" t="s">
        <v>17</v>
      </c>
      <c r="AD8" s="1302" t="s">
        <v>549</v>
      </c>
      <c r="AE8" s="1305"/>
      <c r="AF8" s="1302" t="s">
        <v>17</v>
      </c>
      <c r="AG8" s="1302" t="s">
        <v>549</v>
      </c>
      <c r="AH8" s="1302" t="s">
        <v>74</v>
      </c>
      <c r="AI8" s="1302" t="s">
        <v>75</v>
      </c>
      <c r="AJ8" s="1302"/>
      <c r="AK8" s="1302"/>
      <c r="AL8" s="1302" t="s">
        <v>74</v>
      </c>
      <c r="AM8" s="1302" t="s">
        <v>549</v>
      </c>
      <c r="AN8" s="1302"/>
      <c r="AO8" s="1302"/>
    </row>
    <row r="9" spans="1:46" s="90" customFormat="1" ht="24" customHeight="1">
      <c r="A9" s="1302"/>
      <c r="B9" s="1302"/>
      <c r="C9" s="1302"/>
      <c r="D9" s="1302"/>
      <c r="E9" s="1302"/>
      <c r="F9" s="1302"/>
      <c r="G9" s="1302"/>
      <c r="H9" s="1302"/>
      <c r="I9" s="1302"/>
      <c r="J9" s="1302"/>
      <c r="K9" s="1302" t="s">
        <v>17</v>
      </c>
      <c r="L9" s="1302" t="s">
        <v>550</v>
      </c>
      <c r="M9" s="1302" t="s">
        <v>551</v>
      </c>
      <c r="N9" s="1302" t="s">
        <v>552</v>
      </c>
      <c r="O9" s="1302"/>
      <c r="P9" s="1302"/>
      <c r="Q9" s="1302"/>
      <c r="R9" s="1302"/>
      <c r="S9" s="1305"/>
      <c r="T9" s="1302"/>
      <c r="U9" s="1305"/>
      <c r="V9" s="1302"/>
      <c r="W9" s="1305"/>
      <c r="X9" s="1302"/>
      <c r="Y9" s="1305"/>
      <c r="Z9" s="1302"/>
      <c r="AA9" s="1302"/>
      <c r="AB9" s="1302"/>
      <c r="AC9" s="1302"/>
      <c r="AD9" s="1302"/>
      <c r="AE9" s="1305"/>
      <c r="AF9" s="1302"/>
      <c r="AG9" s="1302"/>
      <c r="AH9" s="1302"/>
      <c r="AI9" s="1303" t="s">
        <v>184</v>
      </c>
      <c r="AJ9" s="1303" t="s">
        <v>553</v>
      </c>
      <c r="AK9" s="1303" t="s">
        <v>261</v>
      </c>
      <c r="AL9" s="1302"/>
      <c r="AM9" s="1302" t="s">
        <v>17</v>
      </c>
      <c r="AN9" s="1302" t="s">
        <v>554</v>
      </c>
      <c r="AO9" s="1302"/>
    </row>
    <row r="10" spans="1:46" s="90" customFormat="1" ht="55.15" customHeight="1">
      <c r="A10" s="1302"/>
      <c r="B10" s="1302"/>
      <c r="C10" s="1302"/>
      <c r="D10" s="1302"/>
      <c r="E10" s="1302"/>
      <c r="F10" s="1302"/>
      <c r="G10" s="1302"/>
      <c r="H10" s="1302"/>
      <c r="I10" s="1302"/>
      <c r="J10" s="1302"/>
      <c r="K10" s="1302"/>
      <c r="L10" s="1302"/>
      <c r="M10" s="1302"/>
      <c r="N10" s="1302"/>
      <c r="O10" s="1302"/>
      <c r="P10" s="1302"/>
      <c r="Q10" s="1302"/>
      <c r="R10" s="1302"/>
      <c r="S10" s="1306"/>
      <c r="T10" s="1302"/>
      <c r="U10" s="1306"/>
      <c r="V10" s="1302"/>
      <c r="W10" s="1306"/>
      <c r="X10" s="1302"/>
      <c r="Y10" s="1306"/>
      <c r="Z10" s="1302"/>
      <c r="AA10" s="1302"/>
      <c r="AB10" s="1302"/>
      <c r="AC10" s="1302"/>
      <c r="AD10" s="1302"/>
      <c r="AE10" s="1306"/>
      <c r="AF10" s="1302"/>
      <c r="AG10" s="1302"/>
      <c r="AH10" s="1302"/>
      <c r="AI10" s="1303"/>
      <c r="AJ10" s="1303"/>
      <c r="AK10" s="1303"/>
      <c r="AL10" s="1302"/>
      <c r="AM10" s="1302"/>
      <c r="AN10" s="1302"/>
      <c r="AO10" s="1302"/>
    </row>
    <row r="11" spans="1:46" s="90" customFormat="1" ht="20.65" customHeight="1">
      <c r="A11" s="4">
        <v>1</v>
      </c>
      <c r="B11" s="4">
        <f>A11+1</f>
        <v>2</v>
      </c>
      <c r="C11" s="4">
        <f t="shared" ref="C11:Q11" si="0">B11+1</f>
        <v>3</v>
      </c>
      <c r="D11" s="4">
        <f t="shared" si="0"/>
        <v>4</v>
      </c>
      <c r="E11" s="4">
        <f t="shared" si="0"/>
        <v>5</v>
      </c>
      <c r="F11" s="4">
        <f t="shared" si="0"/>
        <v>6</v>
      </c>
      <c r="G11" s="4">
        <f t="shared" si="0"/>
        <v>7</v>
      </c>
      <c r="H11" s="4">
        <f t="shared" si="0"/>
        <v>8</v>
      </c>
      <c r="I11" s="4">
        <f t="shared" si="0"/>
        <v>9</v>
      </c>
      <c r="J11" s="4">
        <f t="shared" si="0"/>
        <v>10</v>
      </c>
      <c r="K11" s="4">
        <f t="shared" si="0"/>
        <v>11</v>
      </c>
      <c r="L11" s="4">
        <f t="shared" si="0"/>
        <v>12</v>
      </c>
      <c r="M11" s="4">
        <f t="shared" si="0"/>
        <v>13</v>
      </c>
      <c r="N11" s="4">
        <f t="shared" si="0"/>
        <v>14</v>
      </c>
      <c r="O11" s="4">
        <f t="shared" si="0"/>
        <v>15</v>
      </c>
      <c r="P11" s="4">
        <f t="shared" si="0"/>
        <v>16</v>
      </c>
      <c r="Q11" s="4">
        <f t="shared" si="0"/>
        <v>17</v>
      </c>
      <c r="R11" s="4">
        <v>9</v>
      </c>
      <c r="S11" s="4">
        <v>10</v>
      </c>
      <c r="T11" s="4">
        <v>11</v>
      </c>
      <c r="U11" s="4">
        <v>12</v>
      </c>
      <c r="V11" s="4">
        <v>13</v>
      </c>
      <c r="W11" s="4">
        <v>14</v>
      </c>
      <c r="X11" s="4">
        <v>9</v>
      </c>
      <c r="Y11" s="4">
        <v>10</v>
      </c>
      <c r="Z11" s="4">
        <v>11</v>
      </c>
      <c r="AA11" s="4">
        <v>12</v>
      </c>
      <c r="AB11" s="4">
        <v>13</v>
      </c>
      <c r="AC11" s="4">
        <v>14</v>
      </c>
      <c r="AD11" s="4">
        <v>15</v>
      </c>
      <c r="AE11" s="4">
        <v>16</v>
      </c>
      <c r="AF11" s="4">
        <v>17</v>
      </c>
      <c r="AG11" s="4">
        <v>18</v>
      </c>
      <c r="AH11" s="4">
        <v>19</v>
      </c>
      <c r="AI11" s="4">
        <v>20</v>
      </c>
      <c r="AJ11" s="4">
        <v>21</v>
      </c>
      <c r="AK11" s="4">
        <v>22</v>
      </c>
      <c r="AL11" s="4">
        <v>23</v>
      </c>
      <c r="AM11" s="4">
        <v>24</v>
      </c>
      <c r="AN11" s="4">
        <v>25</v>
      </c>
      <c r="AO11" s="4">
        <v>26</v>
      </c>
    </row>
    <row r="12" spans="1:46" s="88" customFormat="1" ht="32.25" customHeight="1">
      <c r="A12" s="5"/>
      <c r="B12" s="6" t="s">
        <v>27</v>
      </c>
      <c r="C12" s="7"/>
      <c r="D12" s="7"/>
      <c r="E12" s="7"/>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row>
    <row r="13" spans="1:46" s="91" customFormat="1" ht="60" customHeight="1">
      <c r="A13" s="102" t="s">
        <v>95</v>
      </c>
      <c r="B13" s="103" t="s">
        <v>555</v>
      </c>
      <c r="C13" s="6"/>
      <c r="D13" s="6"/>
      <c r="E13" s="6"/>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6" s="92" customFormat="1" ht="76.900000000000006" customHeight="1">
      <c r="A14" s="15" t="s">
        <v>28</v>
      </c>
      <c r="B14" s="104" t="s">
        <v>556</v>
      </c>
      <c r="C14" s="105"/>
      <c r="D14" s="105"/>
      <c r="E14" s="105"/>
      <c r="F14" s="105"/>
      <c r="G14" s="106"/>
      <c r="H14" s="106"/>
      <c r="I14" s="106"/>
      <c r="J14" s="106"/>
      <c r="K14" s="106"/>
      <c r="L14" s="106"/>
      <c r="M14" s="106"/>
      <c r="N14" s="106"/>
      <c r="O14" s="106"/>
      <c r="P14" s="106"/>
      <c r="Q14" s="106"/>
      <c r="R14" s="106"/>
      <c r="S14" s="106"/>
      <c r="T14" s="106"/>
      <c r="U14" s="106"/>
      <c r="V14" s="106"/>
      <c r="W14" s="106"/>
      <c r="X14" s="106"/>
      <c r="Y14" s="106"/>
      <c r="Z14" s="121"/>
      <c r="AA14" s="121"/>
      <c r="AB14" s="121"/>
      <c r="AC14" s="121"/>
      <c r="AD14" s="121"/>
      <c r="AE14" s="121"/>
      <c r="AF14" s="121"/>
      <c r="AG14" s="121"/>
      <c r="AH14" s="121"/>
      <c r="AI14" s="121"/>
      <c r="AJ14" s="121"/>
      <c r="AK14" s="121"/>
      <c r="AL14" s="121"/>
      <c r="AM14" s="121"/>
      <c r="AN14" s="121"/>
      <c r="AO14" s="121"/>
    </row>
    <row r="15" spans="1:46" s="93" customFormat="1" ht="74.650000000000006" customHeight="1">
      <c r="A15" s="107" t="s">
        <v>188</v>
      </c>
      <c r="B15" s="108" t="s">
        <v>189</v>
      </c>
      <c r="C15" s="109"/>
      <c r="D15" s="109"/>
      <c r="E15" s="109"/>
      <c r="F15" s="109"/>
      <c r="G15" s="110"/>
      <c r="H15" s="110"/>
      <c r="I15" s="110"/>
      <c r="J15" s="110"/>
      <c r="K15" s="110"/>
      <c r="L15" s="110"/>
      <c r="M15" s="110"/>
      <c r="N15" s="110"/>
      <c r="O15" s="110"/>
      <c r="P15" s="110"/>
      <c r="Q15" s="110"/>
      <c r="R15" s="110"/>
      <c r="S15" s="110"/>
      <c r="T15" s="110"/>
      <c r="U15" s="110"/>
      <c r="V15" s="110"/>
      <c r="W15" s="110"/>
      <c r="X15" s="110"/>
      <c r="Y15" s="110"/>
      <c r="Z15" s="122"/>
      <c r="AA15" s="122"/>
      <c r="AB15" s="122"/>
      <c r="AC15" s="122"/>
      <c r="AD15" s="122"/>
      <c r="AE15" s="122"/>
      <c r="AF15" s="122"/>
      <c r="AG15" s="122"/>
      <c r="AH15" s="122"/>
      <c r="AI15" s="122"/>
      <c r="AJ15" s="122"/>
      <c r="AK15" s="122"/>
      <c r="AL15" s="122"/>
      <c r="AM15" s="122"/>
      <c r="AN15" s="122"/>
      <c r="AO15" s="122"/>
    </row>
    <row r="16" spans="1:46" s="92" customFormat="1" ht="30" customHeight="1">
      <c r="A16" s="111" t="s">
        <v>190</v>
      </c>
      <c r="B16" s="20" t="s">
        <v>191</v>
      </c>
      <c r="C16" s="105"/>
      <c r="D16" s="105"/>
      <c r="E16" s="105"/>
      <c r="F16" s="105"/>
      <c r="G16" s="106"/>
      <c r="H16" s="106"/>
      <c r="I16" s="106"/>
      <c r="J16" s="106"/>
      <c r="K16" s="106"/>
      <c r="L16" s="106"/>
      <c r="M16" s="106"/>
      <c r="N16" s="106"/>
      <c r="O16" s="106"/>
      <c r="P16" s="106"/>
      <c r="Q16" s="106"/>
      <c r="R16" s="106"/>
      <c r="S16" s="106"/>
      <c r="T16" s="106"/>
      <c r="U16" s="106"/>
      <c r="V16" s="106"/>
      <c r="W16" s="106"/>
      <c r="X16" s="106"/>
      <c r="Y16" s="106"/>
      <c r="Z16" s="121"/>
      <c r="AA16" s="121"/>
      <c r="AB16" s="121"/>
      <c r="AC16" s="121"/>
      <c r="AD16" s="121"/>
      <c r="AE16" s="121"/>
      <c r="AF16" s="121"/>
      <c r="AG16" s="121"/>
      <c r="AH16" s="121"/>
      <c r="AI16" s="121"/>
      <c r="AJ16" s="121"/>
      <c r="AK16" s="121"/>
      <c r="AL16" s="121"/>
      <c r="AM16" s="121"/>
      <c r="AN16" s="121"/>
      <c r="AO16" s="121"/>
    </row>
    <row r="17" spans="1:41" s="92" customFormat="1" ht="30" customHeight="1">
      <c r="A17" s="111" t="s">
        <v>192</v>
      </c>
      <c r="B17" s="189" t="s">
        <v>193</v>
      </c>
      <c r="C17" s="105"/>
      <c r="D17" s="105"/>
      <c r="E17" s="105"/>
      <c r="F17" s="105"/>
      <c r="G17" s="106"/>
      <c r="H17" s="106"/>
      <c r="I17" s="106"/>
      <c r="J17" s="106"/>
      <c r="K17" s="106"/>
      <c r="L17" s="106"/>
      <c r="M17" s="106"/>
      <c r="N17" s="106"/>
      <c r="O17" s="106"/>
      <c r="P17" s="106"/>
      <c r="Q17" s="106"/>
      <c r="R17" s="106"/>
      <c r="S17" s="106"/>
      <c r="T17" s="106"/>
      <c r="U17" s="106"/>
      <c r="V17" s="106"/>
      <c r="W17" s="106"/>
      <c r="X17" s="106"/>
      <c r="Y17" s="106"/>
      <c r="Z17" s="121"/>
      <c r="AA17" s="121"/>
      <c r="AB17" s="121"/>
      <c r="AC17" s="121"/>
      <c r="AD17" s="121"/>
      <c r="AE17" s="121"/>
      <c r="AF17" s="121"/>
      <c r="AG17" s="121"/>
      <c r="AH17" s="121"/>
      <c r="AI17" s="121"/>
      <c r="AJ17" s="121"/>
      <c r="AK17" s="121"/>
      <c r="AL17" s="121"/>
      <c r="AM17" s="121"/>
      <c r="AN17" s="121"/>
      <c r="AO17" s="121"/>
    </row>
    <row r="18" spans="1:41" s="93" customFormat="1" ht="77.650000000000006" customHeight="1">
      <c r="A18" s="107" t="s">
        <v>194</v>
      </c>
      <c r="B18" s="108" t="s">
        <v>195</v>
      </c>
      <c r="C18" s="109"/>
      <c r="D18" s="109"/>
      <c r="E18" s="109"/>
      <c r="F18" s="109"/>
      <c r="G18" s="110"/>
      <c r="H18" s="110"/>
      <c r="I18" s="110"/>
      <c r="J18" s="110"/>
      <c r="K18" s="110"/>
      <c r="L18" s="110"/>
      <c r="M18" s="110"/>
      <c r="N18" s="110"/>
      <c r="O18" s="110"/>
      <c r="P18" s="110"/>
      <c r="Q18" s="110"/>
      <c r="R18" s="110"/>
      <c r="S18" s="110"/>
      <c r="T18" s="110"/>
      <c r="U18" s="110"/>
      <c r="V18" s="110"/>
      <c r="W18" s="110"/>
      <c r="X18" s="110"/>
      <c r="Y18" s="110"/>
      <c r="Z18" s="122"/>
      <c r="AA18" s="122"/>
      <c r="AB18" s="122"/>
      <c r="AC18" s="122"/>
      <c r="AD18" s="122"/>
      <c r="AE18" s="122"/>
      <c r="AF18" s="122"/>
      <c r="AG18" s="122"/>
      <c r="AH18" s="122"/>
      <c r="AI18" s="122"/>
      <c r="AJ18" s="122"/>
      <c r="AK18" s="122"/>
      <c r="AL18" s="122"/>
      <c r="AM18" s="122"/>
      <c r="AN18" s="122"/>
      <c r="AO18" s="122"/>
    </row>
    <row r="19" spans="1:41" s="94" customFormat="1" ht="45" customHeight="1">
      <c r="A19" s="111"/>
      <c r="B19" s="20" t="s">
        <v>196</v>
      </c>
      <c r="C19" s="112"/>
      <c r="D19" s="112"/>
      <c r="E19" s="112"/>
      <c r="F19" s="112"/>
      <c r="G19" s="113"/>
      <c r="H19" s="113"/>
      <c r="I19" s="113"/>
      <c r="J19" s="113"/>
      <c r="K19" s="113"/>
      <c r="L19" s="113"/>
      <c r="M19" s="113"/>
      <c r="N19" s="113"/>
      <c r="O19" s="113"/>
      <c r="P19" s="113"/>
      <c r="Q19" s="113"/>
      <c r="R19" s="113"/>
      <c r="S19" s="113"/>
      <c r="T19" s="113"/>
      <c r="U19" s="113"/>
      <c r="V19" s="113"/>
      <c r="W19" s="113"/>
      <c r="X19" s="113"/>
      <c r="Y19" s="113"/>
      <c r="Z19" s="123"/>
      <c r="AA19" s="123"/>
      <c r="AB19" s="123"/>
      <c r="AC19" s="123"/>
      <c r="AD19" s="123"/>
      <c r="AE19" s="123"/>
      <c r="AF19" s="123"/>
      <c r="AG19" s="123"/>
      <c r="AH19" s="123"/>
      <c r="AI19" s="123"/>
      <c r="AJ19" s="123"/>
      <c r="AK19" s="123"/>
      <c r="AL19" s="123"/>
      <c r="AM19" s="123"/>
      <c r="AN19" s="123"/>
      <c r="AO19" s="123"/>
    </row>
    <row r="20" spans="1:41" s="95" customFormat="1" ht="61.15" customHeight="1">
      <c r="A20" s="107" t="s">
        <v>197</v>
      </c>
      <c r="B20" s="108" t="s">
        <v>198</v>
      </c>
      <c r="C20" s="114"/>
      <c r="D20" s="114"/>
      <c r="E20" s="114"/>
      <c r="F20" s="114"/>
      <c r="G20" s="115"/>
      <c r="H20" s="115"/>
      <c r="I20" s="115"/>
      <c r="J20" s="115"/>
      <c r="K20" s="115"/>
      <c r="L20" s="115"/>
      <c r="M20" s="115"/>
      <c r="N20" s="115"/>
      <c r="O20" s="115"/>
      <c r="P20" s="115"/>
      <c r="Q20" s="115"/>
      <c r="R20" s="115"/>
      <c r="S20" s="115"/>
      <c r="T20" s="115"/>
      <c r="U20" s="115"/>
      <c r="V20" s="115"/>
      <c r="W20" s="115"/>
      <c r="X20" s="115"/>
      <c r="Y20" s="115"/>
      <c r="Z20" s="124"/>
      <c r="AA20" s="124"/>
      <c r="AB20" s="124"/>
      <c r="AC20" s="124"/>
      <c r="AD20" s="124"/>
      <c r="AE20" s="124"/>
      <c r="AF20" s="124"/>
      <c r="AG20" s="124"/>
      <c r="AH20" s="124"/>
      <c r="AI20" s="124"/>
      <c r="AJ20" s="124"/>
      <c r="AK20" s="124"/>
      <c r="AL20" s="124"/>
      <c r="AM20" s="124"/>
      <c r="AN20" s="124"/>
      <c r="AO20" s="124"/>
    </row>
    <row r="21" spans="1:41" s="95" customFormat="1" ht="97.15" customHeight="1">
      <c r="A21" s="107"/>
      <c r="B21" s="190" t="s">
        <v>199</v>
      </c>
      <c r="C21" s="114"/>
      <c r="D21" s="114"/>
      <c r="E21" s="114"/>
      <c r="F21" s="114"/>
      <c r="G21" s="115"/>
      <c r="H21" s="115"/>
      <c r="I21" s="115"/>
      <c r="J21" s="115"/>
      <c r="K21" s="115"/>
      <c r="L21" s="115"/>
      <c r="M21" s="115"/>
      <c r="N21" s="115"/>
      <c r="O21" s="115"/>
      <c r="P21" s="115"/>
      <c r="Q21" s="115"/>
      <c r="R21" s="115"/>
      <c r="S21" s="115"/>
      <c r="T21" s="115"/>
      <c r="U21" s="115"/>
      <c r="V21" s="115"/>
      <c r="W21" s="115"/>
      <c r="X21" s="115"/>
      <c r="Y21" s="115"/>
      <c r="Z21" s="124"/>
      <c r="AA21" s="124"/>
      <c r="AB21" s="124"/>
      <c r="AC21" s="124"/>
      <c r="AD21" s="124"/>
      <c r="AE21" s="124"/>
      <c r="AF21" s="124"/>
      <c r="AG21" s="124"/>
      <c r="AH21" s="124"/>
      <c r="AI21" s="124"/>
      <c r="AJ21" s="124"/>
      <c r="AK21" s="124"/>
      <c r="AL21" s="124"/>
      <c r="AM21" s="124"/>
      <c r="AN21" s="124"/>
      <c r="AO21" s="124"/>
    </row>
    <row r="22" spans="1:41" s="95" customFormat="1" ht="47.65" customHeight="1">
      <c r="A22" s="107"/>
      <c r="B22" s="20" t="s">
        <v>196</v>
      </c>
      <c r="C22" s="114"/>
      <c r="D22" s="114"/>
      <c r="E22" s="114"/>
      <c r="F22" s="114"/>
      <c r="G22" s="115"/>
      <c r="H22" s="115"/>
      <c r="I22" s="115"/>
      <c r="J22" s="115"/>
      <c r="K22" s="115"/>
      <c r="L22" s="115"/>
      <c r="M22" s="115"/>
      <c r="N22" s="115"/>
      <c r="O22" s="115"/>
      <c r="P22" s="115"/>
      <c r="Q22" s="115"/>
      <c r="R22" s="115"/>
      <c r="S22" s="115"/>
      <c r="T22" s="115"/>
      <c r="U22" s="115"/>
      <c r="V22" s="115"/>
      <c r="W22" s="115"/>
      <c r="X22" s="115"/>
      <c r="Y22" s="115"/>
      <c r="Z22" s="124"/>
      <c r="AA22" s="124"/>
      <c r="AB22" s="124"/>
      <c r="AC22" s="124"/>
      <c r="AD22" s="124"/>
      <c r="AE22" s="124"/>
      <c r="AF22" s="124"/>
      <c r="AG22" s="124"/>
      <c r="AH22" s="124"/>
      <c r="AI22" s="124"/>
      <c r="AJ22" s="124"/>
      <c r="AK22" s="124"/>
      <c r="AL22" s="124"/>
      <c r="AM22" s="124"/>
      <c r="AN22" s="124"/>
      <c r="AO22" s="124"/>
    </row>
    <row r="23" spans="1:41" s="93" customFormat="1" ht="59.65" customHeight="1">
      <c r="A23" s="107"/>
      <c r="B23" s="190" t="s">
        <v>200</v>
      </c>
      <c r="C23" s="109"/>
      <c r="D23" s="109"/>
      <c r="E23" s="109"/>
      <c r="F23" s="109"/>
      <c r="G23" s="110"/>
      <c r="H23" s="110"/>
      <c r="I23" s="110"/>
      <c r="J23" s="110"/>
      <c r="K23" s="110"/>
      <c r="L23" s="110"/>
      <c r="M23" s="110"/>
      <c r="N23" s="110"/>
      <c r="O23" s="110"/>
      <c r="P23" s="110"/>
      <c r="Q23" s="110"/>
      <c r="R23" s="110"/>
      <c r="S23" s="110"/>
      <c r="T23" s="110"/>
      <c r="U23" s="110"/>
      <c r="V23" s="110"/>
      <c r="W23" s="110"/>
      <c r="X23" s="110"/>
      <c r="Y23" s="110"/>
      <c r="Z23" s="122"/>
      <c r="AA23" s="122"/>
      <c r="AB23" s="122"/>
      <c r="AC23" s="122"/>
      <c r="AD23" s="122"/>
      <c r="AE23" s="122"/>
      <c r="AF23" s="122"/>
      <c r="AG23" s="122"/>
      <c r="AH23" s="122"/>
      <c r="AI23" s="122"/>
      <c r="AJ23" s="122"/>
      <c r="AK23" s="122"/>
      <c r="AL23" s="122"/>
      <c r="AM23" s="122"/>
      <c r="AN23" s="122"/>
      <c r="AO23" s="122"/>
    </row>
    <row r="24" spans="1:41" s="94" customFormat="1" ht="45" customHeight="1">
      <c r="A24" s="111"/>
      <c r="B24" s="20" t="s">
        <v>196</v>
      </c>
      <c r="C24" s="112"/>
      <c r="D24" s="112"/>
      <c r="E24" s="112"/>
      <c r="F24" s="112"/>
      <c r="G24" s="113"/>
      <c r="H24" s="113"/>
      <c r="I24" s="113"/>
      <c r="J24" s="113"/>
      <c r="K24" s="113"/>
      <c r="L24" s="113"/>
      <c r="M24" s="113"/>
      <c r="N24" s="113"/>
      <c r="O24" s="113"/>
      <c r="P24" s="113"/>
      <c r="Q24" s="113"/>
      <c r="R24" s="113"/>
      <c r="S24" s="113"/>
      <c r="T24" s="113"/>
      <c r="U24" s="113"/>
      <c r="V24" s="113"/>
      <c r="W24" s="113"/>
      <c r="X24" s="113"/>
      <c r="Y24" s="113"/>
      <c r="Z24" s="123"/>
      <c r="AA24" s="123"/>
      <c r="AB24" s="123"/>
      <c r="AC24" s="123"/>
      <c r="AD24" s="123"/>
      <c r="AE24" s="123"/>
      <c r="AF24" s="123"/>
      <c r="AG24" s="123"/>
      <c r="AH24" s="123"/>
      <c r="AI24" s="123"/>
      <c r="AJ24" s="123"/>
      <c r="AK24" s="123"/>
      <c r="AL24" s="123"/>
      <c r="AM24" s="123"/>
      <c r="AN24" s="123"/>
      <c r="AO24" s="123"/>
    </row>
    <row r="25" spans="1:41" s="95" customFormat="1" ht="63" customHeight="1">
      <c r="A25" s="107" t="s">
        <v>221</v>
      </c>
      <c r="B25" s="108" t="s">
        <v>222</v>
      </c>
      <c r="C25" s="114"/>
      <c r="D25" s="114"/>
      <c r="E25" s="114"/>
      <c r="F25" s="114"/>
      <c r="G25" s="115"/>
      <c r="H25" s="115"/>
      <c r="I25" s="115"/>
      <c r="J25" s="115"/>
      <c r="K25" s="115"/>
      <c r="L25" s="115"/>
      <c r="M25" s="115"/>
      <c r="N25" s="115"/>
      <c r="O25" s="115"/>
      <c r="P25" s="115"/>
      <c r="Q25" s="115"/>
      <c r="R25" s="115"/>
      <c r="S25" s="115"/>
      <c r="T25" s="115"/>
      <c r="U25" s="115"/>
      <c r="V25" s="115"/>
      <c r="W25" s="115"/>
      <c r="X25" s="115"/>
      <c r="Y25" s="115"/>
      <c r="Z25" s="124"/>
      <c r="AA25" s="124"/>
      <c r="AB25" s="124"/>
      <c r="AC25" s="124"/>
      <c r="AD25" s="124"/>
      <c r="AE25" s="124"/>
      <c r="AF25" s="124"/>
      <c r="AG25" s="124"/>
      <c r="AH25" s="124"/>
      <c r="AI25" s="124"/>
      <c r="AJ25" s="124"/>
      <c r="AK25" s="124"/>
      <c r="AL25" s="124"/>
      <c r="AM25" s="124"/>
      <c r="AN25" s="124"/>
      <c r="AO25" s="124"/>
    </row>
    <row r="26" spans="1:41" s="95" customFormat="1" ht="84.4" customHeight="1">
      <c r="A26" s="107"/>
      <c r="B26" s="190" t="s">
        <v>223</v>
      </c>
      <c r="C26" s="114"/>
      <c r="D26" s="114"/>
      <c r="E26" s="114"/>
      <c r="F26" s="114"/>
      <c r="G26" s="115"/>
      <c r="H26" s="115"/>
      <c r="I26" s="115"/>
      <c r="J26" s="115"/>
      <c r="K26" s="115"/>
      <c r="L26" s="115"/>
      <c r="M26" s="115"/>
      <c r="N26" s="115"/>
      <c r="O26" s="115"/>
      <c r="P26" s="115"/>
      <c r="Q26" s="115"/>
      <c r="R26" s="115"/>
      <c r="S26" s="115"/>
      <c r="T26" s="115"/>
      <c r="U26" s="115"/>
      <c r="V26" s="115"/>
      <c r="W26" s="115"/>
      <c r="X26" s="115"/>
      <c r="Y26" s="115"/>
      <c r="Z26" s="124"/>
      <c r="AA26" s="124"/>
      <c r="AB26" s="124"/>
      <c r="AC26" s="124"/>
      <c r="AD26" s="124"/>
      <c r="AE26" s="124"/>
      <c r="AF26" s="124"/>
      <c r="AG26" s="124"/>
      <c r="AH26" s="124"/>
      <c r="AI26" s="124"/>
      <c r="AJ26" s="124"/>
      <c r="AK26" s="124"/>
      <c r="AL26" s="124"/>
      <c r="AM26" s="124"/>
      <c r="AN26" s="124"/>
      <c r="AO26" s="124"/>
    </row>
    <row r="27" spans="1:41" s="94" customFormat="1" ht="45" customHeight="1">
      <c r="A27" s="111"/>
      <c r="B27" s="20" t="s">
        <v>196</v>
      </c>
      <c r="C27" s="112"/>
      <c r="D27" s="112"/>
      <c r="E27" s="112"/>
      <c r="F27" s="112"/>
      <c r="G27" s="113"/>
      <c r="H27" s="113"/>
      <c r="I27" s="113"/>
      <c r="J27" s="113"/>
      <c r="K27" s="113"/>
      <c r="L27" s="113"/>
      <c r="M27" s="113"/>
      <c r="N27" s="113"/>
      <c r="O27" s="113"/>
      <c r="P27" s="113"/>
      <c r="Q27" s="113"/>
      <c r="R27" s="113"/>
      <c r="S27" s="113"/>
      <c r="T27" s="113"/>
      <c r="U27" s="113"/>
      <c r="V27" s="113"/>
      <c r="W27" s="113"/>
      <c r="X27" s="113"/>
      <c r="Y27" s="113"/>
      <c r="Z27" s="123"/>
      <c r="AA27" s="123"/>
      <c r="AB27" s="123"/>
      <c r="AC27" s="123"/>
      <c r="AD27" s="123"/>
      <c r="AE27" s="123"/>
      <c r="AF27" s="123"/>
      <c r="AG27" s="123"/>
      <c r="AH27" s="123"/>
      <c r="AI27" s="123"/>
      <c r="AJ27" s="123"/>
      <c r="AK27" s="123"/>
      <c r="AL27" s="123"/>
      <c r="AM27" s="123"/>
      <c r="AN27" s="123"/>
      <c r="AO27" s="123"/>
    </row>
    <row r="28" spans="1:41" s="95" customFormat="1" ht="42" customHeight="1">
      <c r="A28" s="107"/>
      <c r="B28" s="190" t="s">
        <v>224</v>
      </c>
      <c r="C28" s="114"/>
      <c r="D28" s="114"/>
      <c r="E28" s="114"/>
      <c r="F28" s="114"/>
      <c r="G28" s="115"/>
      <c r="H28" s="115"/>
      <c r="I28" s="115"/>
      <c r="J28" s="115"/>
      <c r="K28" s="115"/>
      <c r="L28" s="115"/>
      <c r="M28" s="115"/>
      <c r="N28" s="115"/>
      <c r="O28" s="115"/>
      <c r="P28" s="115"/>
      <c r="Q28" s="115"/>
      <c r="R28" s="115"/>
      <c r="S28" s="115"/>
      <c r="T28" s="115"/>
      <c r="U28" s="115"/>
      <c r="V28" s="115"/>
      <c r="W28" s="115"/>
      <c r="X28" s="115"/>
      <c r="Y28" s="115"/>
      <c r="Z28" s="124"/>
      <c r="AA28" s="124"/>
      <c r="AB28" s="124"/>
      <c r="AC28" s="124"/>
      <c r="AD28" s="124"/>
      <c r="AE28" s="124"/>
      <c r="AF28" s="124"/>
      <c r="AG28" s="124"/>
      <c r="AH28" s="124"/>
      <c r="AI28" s="124"/>
      <c r="AJ28" s="124"/>
      <c r="AK28" s="124"/>
      <c r="AL28" s="124"/>
      <c r="AM28" s="124"/>
      <c r="AN28" s="124"/>
      <c r="AO28" s="124"/>
    </row>
    <row r="29" spans="1:41" s="94" customFormat="1" ht="45" customHeight="1">
      <c r="A29" s="111"/>
      <c r="B29" s="20" t="s">
        <v>196</v>
      </c>
      <c r="C29" s="112"/>
      <c r="D29" s="112"/>
      <c r="E29" s="112"/>
      <c r="F29" s="112"/>
      <c r="G29" s="113"/>
      <c r="H29" s="113"/>
      <c r="I29" s="113"/>
      <c r="J29" s="113"/>
      <c r="K29" s="113"/>
      <c r="L29" s="113"/>
      <c r="M29" s="113"/>
      <c r="N29" s="113"/>
      <c r="O29" s="113"/>
      <c r="P29" s="113"/>
      <c r="Q29" s="113"/>
      <c r="R29" s="113"/>
      <c r="S29" s="113"/>
      <c r="T29" s="113"/>
      <c r="U29" s="113"/>
      <c r="V29" s="113"/>
      <c r="W29" s="113"/>
      <c r="X29" s="113"/>
      <c r="Y29" s="113"/>
      <c r="Z29" s="123"/>
      <c r="AA29" s="123"/>
      <c r="AB29" s="123"/>
      <c r="AC29" s="123"/>
      <c r="AD29" s="123"/>
      <c r="AE29" s="123"/>
      <c r="AF29" s="123"/>
      <c r="AG29" s="123"/>
      <c r="AH29" s="123"/>
      <c r="AI29" s="123"/>
      <c r="AJ29" s="123"/>
      <c r="AK29" s="123"/>
      <c r="AL29" s="123"/>
      <c r="AM29" s="123"/>
      <c r="AN29" s="123"/>
      <c r="AO29" s="123"/>
    </row>
    <row r="30" spans="1:41" s="94" customFormat="1" ht="61.15" customHeight="1">
      <c r="A30" s="15" t="s">
        <v>30</v>
      </c>
      <c r="B30" s="104" t="s">
        <v>201</v>
      </c>
      <c r="C30" s="112"/>
      <c r="D30" s="112"/>
      <c r="E30" s="112"/>
      <c r="F30" s="112"/>
      <c r="G30" s="113"/>
      <c r="H30" s="113"/>
      <c r="I30" s="113"/>
      <c r="J30" s="113"/>
      <c r="K30" s="113"/>
      <c r="L30" s="113"/>
      <c r="M30" s="113"/>
      <c r="N30" s="113"/>
      <c r="O30" s="113"/>
      <c r="P30" s="113"/>
      <c r="Q30" s="113"/>
      <c r="R30" s="113"/>
      <c r="S30" s="113"/>
      <c r="T30" s="113"/>
      <c r="U30" s="113"/>
      <c r="V30" s="113"/>
      <c r="W30" s="113"/>
      <c r="X30" s="113"/>
      <c r="Y30" s="113"/>
      <c r="Z30" s="123"/>
      <c r="AA30" s="123"/>
      <c r="AB30" s="123"/>
      <c r="AC30" s="123"/>
      <c r="AD30" s="123"/>
      <c r="AE30" s="123"/>
      <c r="AF30" s="123"/>
      <c r="AG30" s="123"/>
      <c r="AH30" s="123"/>
      <c r="AI30" s="123"/>
      <c r="AJ30" s="123"/>
      <c r="AK30" s="123"/>
      <c r="AL30" s="123"/>
      <c r="AM30" s="123"/>
      <c r="AN30" s="123"/>
      <c r="AO30" s="123"/>
    </row>
    <row r="31" spans="1:41" s="93" customFormat="1" ht="77.650000000000006" customHeight="1">
      <c r="A31" s="107" t="s">
        <v>188</v>
      </c>
      <c r="B31" s="108" t="s">
        <v>557</v>
      </c>
      <c r="C31" s="109"/>
      <c r="D31" s="109"/>
      <c r="E31" s="109"/>
      <c r="F31" s="109"/>
      <c r="G31" s="110"/>
      <c r="H31" s="110"/>
      <c r="I31" s="110"/>
      <c r="J31" s="110"/>
      <c r="K31" s="110"/>
      <c r="L31" s="110"/>
      <c r="M31" s="110"/>
      <c r="N31" s="110"/>
      <c r="O31" s="110"/>
      <c r="P31" s="110"/>
      <c r="Q31" s="110"/>
      <c r="R31" s="110"/>
      <c r="S31" s="110"/>
      <c r="T31" s="110"/>
      <c r="U31" s="110"/>
      <c r="V31" s="110"/>
      <c r="W31" s="110"/>
      <c r="X31" s="110"/>
      <c r="Y31" s="110"/>
      <c r="Z31" s="122"/>
      <c r="AA31" s="122"/>
      <c r="AB31" s="122"/>
      <c r="AC31" s="122"/>
      <c r="AD31" s="122"/>
      <c r="AE31" s="122"/>
      <c r="AF31" s="122"/>
      <c r="AG31" s="122"/>
      <c r="AH31" s="122"/>
      <c r="AI31" s="122"/>
      <c r="AJ31" s="122"/>
      <c r="AK31" s="122"/>
      <c r="AL31" s="122"/>
      <c r="AM31" s="122"/>
      <c r="AN31" s="122"/>
      <c r="AO31" s="122"/>
    </row>
    <row r="32" spans="1:41" s="92" customFormat="1" ht="39.4" customHeight="1">
      <c r="A32" s="111"/>
      <c r="B32" s="20" t="s">
        <v>196</v>
      </c>
      <c r="C32" s="105"/>
      <c r="D32" s="105"/>
      <c r="E32" s="105"/>
      <c r="F32" s="105"/>
      <c r="G32" s="106"/>
      <c r="H32" s="106"/>
      <c r="I32" s="106"/>
      <c r="J32" s="106"/>
      <c r="K32" s="106"/>
      <c r="L32" s="106"/>
      <c r="M32" s="106"/>
      <c r="N32" s="106"/>
      <c r="O32" s="106"/>
      <c r="P32" s="106"/>
      <c r="Q32" s="106"/>
      <c r="R32" s="106"/>
      <c r="S32" s="106"/>
      <c r="T32" s="106"/>
      <c r="U32" s="106"/>
      <c r="V32" s="106"/>
      <c r="W32" s="106"/>
      <c r="X32" s="106"/>
      <c r="Y32" s="106"/>
      <c r="Z32" s="121"/>
      <c r="AA32" s="121"/>
      <c r="AB32" s="121"/>
      <c r="AC32" s="121"/>
      <c r="AD32" s="121"/>
      <c r="AE32" s="121"/>
      <c r="AF32" s="121"/>
      <c r="AG32" s="121"/>
      <c r="AH32" s="121"/>
      <c r="AI32" s="121"/>
      <c r="AJ32" s="121"/>
      <c r="AK32" s="121"/>
      <c r="AL32" s="121"/>
      <c r="AM32" s="121"/>
      <c r="AN32" s="121"/>
      <c r="AO32" s="121"/>
    </row>
    <row r="33" spans="1:41" s="95" customFormat="1" ht="60" customHeight="1">
      <c r="A33" s="107" t="s">
        <v>194</v>
      </c>
      <c r="B33" s="108" t="s">
        <v>558</v>
      </c>
      <c r="C33" s="114"/>
      <c r="D33" s="114"/>
      <c r="E33" s="114"/>
      <c r="F33" s="114"/>
      <c r="G33" s="115"/>
      <c r="H33" s="115"/>
      <c r="I33" s="115"/>
      <c r="J33" s="115"/>
      <c r="K33" s="115"/>
      <c r="L33" s="115"/>
      <c r="M33" s="115"/>
      <c r="N33" s="115"/>
      <c r="O33" s="115"/>
      <c r="P33" s="115"/>
      <c r="Q33" s="115"/>
      <c r="R33" s="115"/>
      <c r="S33" s="115"/>
      <c r="T33" s="115"/>
      <c r="U33" s="115"/>
      <c r="V33" s="115"/>
      <c r="W33" s="115"/>
      <c r="X33" s="115"/>
      <c r="Y33" s="115"/>
      <c r="Z33" s="124"/>
      <c r="AA33" s="124"/>
      <c r="AB33" s="124"/>
      <c r="AC33" s="124"/>
      <c r="AD33" s="124"/>
      <c r="AE33" s="124"/>
      <c r="AF33" s="124"/>
      <c r="AG33" s="124"/>
      <c r="AH33" s="124"/>
      <c r="AI33" s="124"/>
      <c r="AJ33" s="124"/>
      <c r="AK33" s="124"/>
      <c r="AL33" s="124"/>
      <c r="AM33" s="124"/>
      <c r="AN33" s="124"/>
      <c r="AO33" s="124"/>
    </row>
    <row r="34" spans="1:41" s="95" customFormat="1" ht="103.9" customHeight="1">
      <c r="A34" s="107"/>
      <c r="B34" s="190" t="s">
        <v>199</v>
      </c>
      <c r="C34" s="114"/>
      <c r="D34" s="114"/>
      <c r="E34" s="114"/>
      <c r="F34" s="114"/>
      <c r="G34" s="115"/>
      <c r="H34" s="115"/>
      <c r="I34" s="115"/>
      <c r="J34" s="115"/>
      <c r="K34" s="115"/>
      <c r="L34" s="115"/>
      <c r="M34" s="115"/>
      <c r="N34" s="115"/>
      <c r="O34" s="115"/>
      <c r="P34" s="115"/>
      <c r="Q34" s="115"/>
      <c r="R34" s="115"/>
      <c r="S34" s="115"/>
      <c r="T34" s="115"/>
      <c r="U34" s="115"/>
      <c r="V34" s="115"/>
      <c r="W34" s="115"/>
      <c r="X34" s="115"/>
      <c r="Y34" s="115"/>
      <c r="Z34" s="124"/>
      <c r="AA34" s="124"/>
      <c r="AB34" s="124"/>
      <c r="AC34" s="124"/>
      <c r="AD34" s="124"/>
      <c r="AE34" s="124"/>
      <c r="AF34" s="124"/>
      <c r="AG34" s="124"/>
      <c r="AH34" s="124"/>
      <c r="AI34" s="124"/>
      <c r="AJ34" s="124"/>
      <c r="AK34" s="124"/>
      <c r="AL34" s="124"/>
      <c r="AM34" s="124"/>
      <c r="AN34" s="124"/>
      <c r="AO34" s="124"/>
    </row>
    <row r="35" spans="1:41" s="95" customFormat="1" ht="47.65" customHeight="1">
      <c r="A35" s="107"/>
      <c r="B35" s="20" t="s">
        <v>196</v>
      </c>
      <c r="C35" s="114"/>
      <c r="D35" s="114"/>
      <c r="E35" s="114"/>
      <c r="F35" s="114"/>
      <c r="G35" s="115"/>
      <c r="H35" s="115"/>
      <c r="I35" s="115"/>
      <c r="J35" s="115"/>
      <c r="K35" s="115"/>
      <c r="L35" s="115"/>
      <c r="M35" s="115"/>
      <c r="N35" s="115"/>
      <c r="O35" s="115"/>
      <c r="P35" s="115"/>
      <c r="Q35" s="115"/>
      <c r="R35" s="115"/>
      <c r="S35" s="115"/>
      <c r="T35" s="115"/>
      <c r="U35" s="115"/>
      <c r="V35" s="115"/>
      <c r="W35" s="115"/>
      <c r="X35" s="115"/>
      <c r="Y35" s="115"/>
      <c r="Z35" s="124"/>
      <c r="AA35" s="124"/>
      <c r="AB35" s="124"/>
      <c r="AC35" s="124"/>
      <c r="AD35" s="124"/>
      <c r="AE35" s="124"/>
      <c r="AF35" s="124"/>
      <c r="AG35" s="124"/>
      <c r="AH35" s="124"/>
      <c r="AI35" s="124"/>
      <c r="AJ35" s="124"/>
      <c r="AK35" s="124"/>
      <c r="AL35" s="124"/>
      <c r="AM35" s="124"/>
      <c r="AN35" s="124"/>
      <c r="AO35" s="124"/>
    </row>
    <row r="36" spans="1:41" s="93" customFormat="1" ht="44.65" customHeight="1">
      <c r="A36" s="107"/>
      <c r="B36" s="190" t="s">
        <v>200</v>
      </c>
      <c r="C36" s="109"/>
      <c r="D36" s="109"/>
      <c r="E36" s="109"/>
      <c r="F36" s="109"/>
      <c r="G36" s="110"/>
      <c r="H36" s="110"/>
      <c r="I36" s="110"/>
      <c r="J36" s="110"/>
      <c r="K36" s="110"/>
      <c r="L36" s="110"/>
      <c r="M36" s="110"/>
      <c r="N36" s="110"/>
      <c r="O36" s="110"/>
      <c r="P36" s="110"/>
      <c r="Q36" s="110"/>
      <c r="R36" s="110"/>
      <c r="S36" s="110"/>
      <c r="T36" s="110"/>
      <c r="U36" s="110"/>
      <c r="V36" s="110"/>
      <c r="W36" s="110"/>
      <c r="X36" s="110"/>
      <c r="Y36" s="110"/>
      <c r="Z36" s="122"/>
      <c r="AA36" s="122"/>
      <c r="AB36" s="122"/>
      <c r="AC36" s="122"/>
      <c r="AD36" s="122"/>
      <c r="AE36" s="122"/>
      <c r="AF36" s="122"/>
      <c r="AG36" s="122"/>
      <c r="AH36" s="122"/>
      <c r="AI36" s="122"/>
      <c r="AJ36" s="122"/>
      <c r="AK36" s="122"/>
      <c r="AL36" s="122"/>
      <c r="AM36" s="122"/>
      <c r="AN36" s="122"/>
      <c r="AO36" s="122"/>
    </row>
    <row r="37" spans="1:41" s="94" customFormat="1" ht="45" customHeight="1">
      <c r="A37" s="111"/>
      <c r="B37" s="20" t="s">
        <v>196</v>
      </c>
      <c r="C37" s="112"/>
      <c r="D37" s="112"/>
      <c r="E37" s="112"/>
      <c r="F37" s="112"/>
      <c r="G37" s="113"/>
      <c r="H37" s="113"/>
      <c r="I37" s="113"/>
      <c r="J37" s="113"/>
      <c r="K37" s="113"/>
      <c r="L37" s="113"/>
      <c r="M37" s="113"/>
      <c r="N37" s="113"/>
      <c r="O37" s="113"/>
      <c r="P37" s="113"/>
      <c r="Q37" s="113"/>
      <c r="R37" s="113"/>
      <c r="S37" s="113"/>
      <c r="T37" s="113"/>
      <c r="U37" s="113"/>
      <c r="V37" s="113"/>
      <c r="W37" s="113"/>
      <c r="X37" s="113"/>
      <c r="Y37" s="113"/>
      <c r="Z37" s="123"/>
      <c r="AA37" s="123"/>
      <c r="AB37" s="123"/>
      <c r="AC37" s="123"/>
      <c r="AD37" s="123"/>
      <c r="AE37" s="123"/>
      <c r="AF37" s="123"/>
      <c r="AG37" s="123"/>
      <c r="AH37" s="123"/>
      <c r="AI37" s="123"/>
      <c r="AJ37" s="123"/>
      <c r="AK37" s="123"/>
      <c r="AL37" s="123"/>
      <c r="AM37" s="123"/>
      <c r="AN37" s="123"/>
      <c r="AO37" s="123"/>
    </row>
    <row r="38" spans="1:41" s="93" customFormat="1" ht="94.9" customHeight="1">
      <c r="A38" s="107"/>
      <c r="B38" s="190" t="s">
        <v>240</v>
      </c>
      <c r="C38" s="109"/>
      <c r="D38" s="109"/>
      <c r="E38" s="109"/>
      <c r="F38" s="109"/>
      <c r="G38" s="110"/>
      <c r="H38" s="110"/>
      <c r="I38" s="110"/>
      <c r="J38" s="110"/>
      <c r="K38" s="110"/>
      <c r="L38" s="110"/>
      <c r="M38" s="110"/>
      <c r="N38" s="110"/>
      <c r="O38" s="110"/>
      <c r="P38" s="110"/>
      <c r="Q38" s="110"/>
      <c r="R38" s="110"/>
      <c r="S38" s="110"/>
      <c r="T38" s="110"/>
      <c r="U38" s="110"/>
      <c r="V38" s="110"/>
      <c r="W38" s="110"/>
      <c r="X38" s="110"/>
      <c r="Y38" s="110"/>
      <c r="Z38" s="122"/>
      <c r="AA38" s="122"/>
      <c r="AB38" s="122"/>
      <c r="AC38" s="122"/>
      <c r="AD38" s="122"/>
      <c r="AE38" s="122"/>
      <c r="AF38" s="122"/>
      <c r="AG38" s="122"/>
      <c r="AH38" s="122"/>
      <c r="AI38" s="122"/>
      <c r="AJ38" s="122"/>
      <c r="AK38" s="122"/>
      <c r="AL38" s="122"/>
      <c r="AM38" s="122"/>
      <c r="AN38" s="122"/>
      <c r="AO38" s="122"/>
    </row>
    <row r="39" spans="1:41" s="95" customFormat="1" ht="85.15" customHeight="1">
      <c r="A39" s="116"/>
      <c r="B39" s="191" t="s">
        <v>226</v>
      </c>
      <c r="C39" s="114"/>
      <c r="D39" s="114"/>
      <c r="E39" s="114"/>
      <c r="F39" s="114"/>
      <c r="G39" s="115"/>
      <c r="H39" s="115"/>
      <c r="I39" s="115"/>
      <c r="J39" s="115"/>
      <c r="K39" s="115"/>
      <c r="L39" s="115"/>
      <c r="M39" s="115"/>
      <c r="N39" s="115"/>
      <c r="O39" s="115"/>
      <c r="P39" s="115"/>
      <c r="Q39" s="115"/>
      <c r="R39" s="115"/>
      <c r="S39" s="115"/>
      <c r="T39" s="115"/>
      <c r="U39" s="115"/>
      <c r="V39" s="115"/>
      <c r="W39" s="115"/>
      <c r="X39" s="115"/>
      <c r="Y39" s="115"/>
      <c r="Z39" s="124"/>
      <c r="AA39" s="124"/>
      <c r="AB39" s="124"/>
      <c r="AC39" s="124"/>
      <c r="AD39" s="124"/>
      <c r="AE39" s="124"/>
      <c r="AF39" s="124"/>
      <c r="AG39" s="124"/>
      <c r="AH39" s="124"/>
      <c r="AI39" s="124"/>
      <c r="AJ39" s="124"/>
      <c r="AK39" s="124"/>
      <c r="AL39" s="124"/>
      <c r="AM39" s="124"/>
      <c r="AN39" s="124"/>
      <c r="AO39" s="124"/>
    </row>
    <row r="40" spans="1:41" s="92" customFormat="1" ht="52.9" customHeight="1">
      <c r="A40" s="111"/>
      <c r="B40" s="20" t="s">
        <v>196</v>
      </c>
      <c r="C40" s="105"/>
      <c r="D40" s="105"/>
      <c r="E40" s="105"/>
      <c r="F40" s="105"/>
      <c r="G40" s="106"/>
      <c r="H40" s="106"/>
      <c r="I40" s="106"/>
      <c r="J40" s="106"/>
      <c r="K40" s="106"/>
      <c r="L40" s="106"/>
      <c r="M40" s="106"/>
      <c r="N40" s="106"/>
      <c r="O40" s="106"/>
      <c r="P40" s="106"/>
      <c r="Q40" s="106"/>
      <c r="R40" s="106"/>
      <c r="S40" s="106"/>
      <c r="T40" s="106"/>
      <c r="U40" s="106"/>
      <c r="V40" s="106"/>
      <c r="W40" s="106"/>
      <c r="X40" s="106"/>
      <c r="Y40" s="106"/>
      <c r="Z40" s="121"/>
      <c r="AA40" s="121"/>
      <c r="AB40" s="121"/>
      <c r="AC40" s="121"/>
      <c r="AD40" s="121"/>
      <c r="AE40" s="121"/>
      <c r="AF40" s="121"/>
      <c r="AG40" s="121"/>
      <c r="AH40" s="121"/>
      <c r="AI40" s="121"/>
      <c r="AJ40" s="121"/>
      <c r="AK40" s="121"/>
      <c r="AL40" s="121"/>
      <c r="AM40" s="121"/>
      <c r="AN40" s="121"/>
      <c r="AO40" s="121"/>
    </row>
    <row r="41" spans="1:41" s="95" customFormat="1" ht="52.15" customHeight="1">
      <c r="A41" s="116"/>
      <c r="B41" s="191" t="s">
        <v>227</v>
      </c>
      <c r="C41" s="114"/>
      <c r="D41" s="114"/>
      <c r="E41" s="114"/>
      <c r="F41" s="114"/>
      <c r="G41" s="115"/>
      <c r="H41" s="115"/>
      <c r="I41" s="115"/>
      <c r="J41" s="115"/>
      <c r="K41" s="115"/>
      <c r="L41" s="115"/>
      <c r="M41" s="115"/>
      <c r="N41" s="115"/>
      <c r="O41" s="115"/>
      <c r="P41" s="115"/>
      <c r="Q41" s="115"/>
      <c r="R41" s="115"/>
      <c r="S41" s="115"/>
      <c r="T41" s="115"/>
      <c r="U41" s="115"/>
      <c r="V41" s="115"/>
      <c r="W41" s="115"/>
      <c r="X41" s="115"/>
      <c r="Y41" s="115"/>
      <c r="Z41" s="124"/>
      <c r="AA41" s="124"/>
      <c r="AB41" s="124"/>
      <c r="AC41" s="124"/>
      <c r="AD41" s="124"/>
      <c r="AE41" s="124"/>
      <c r="AF41" s="124"/>
      <c r="AG41" s="124"/>
      <c r="AH41" s="124"/>
      <c r="AI41" s="124"/>
      <c r="AJ41" s="124"/>
      <c r="AK41" s="124"/>
      <c r="AL41" s="124"/>
      <c r="AM41" s="124"/>
      <c r="AN41" s="124"/>
      <c r="AO41" s="124"/>
    </row>
    <row r="42" spans="1:41" s="92" customFormat="1" ht="52.15" customHeight="1">
      <c r="A42" s="111"/>
      <c r="B42" s="20" t="s">
        <v>196</v>
      </c>
      <c r="C42" s="105"/>
      <c r="D42" s="105"/>
      <c r="E42" s="105"/>
      <c r="F42" s="105"/>
      <c r="G42" s="106"/>
      <c r="H42" s="106"/>
      <c r="I42" s="106"/>
      <c r="J42" s="106"/>
      <c r="K42" s="106"/>
      <c r="L42" s="106"/>
      <c r="M42" s="106"/>
      <c r="N42" s="106"/>
      <c r="O42" s="106"/>
      <c r="P42" s="106"/>
      <c r="Q42" s="106"/>
      <c r="R42" s="106"/>
      <c r="S42" s="106"/>
      <c r="T42" s="106"/>
      <c r="U42" s="106"/>
      <c r="V42" s="106"/>
      <c r="W42" s="106"/>
      <c r="X42" s="106"/>
      <c r="Y42" s="106"/>
      <c r="Z42" s="121"/>
      <c r="AA42" s="121"/>
      <c r="AB42" s="121"/>
      <c r="AC42" s="121"/>
      <c r="AD42" s="121"/>
      <c r="AE42" s="121"/>
      <c r="AF42" s="121"/>
      <c r="AG42" s="121"/>
      <c r="AH42" s="121"/>
      <c r="AI42" s="121"/>
      <c r="AJ42" s="121"/>
      <c r="AK42" s="121"/>
      <c r="AL42" s="121"/>
      <c r="AM42" s="121"/>
      <c r="AN42" s="121"/>
      <c r="AO42" s="121"/>
    </row>
    <row r="43" spans="1:41" s="91" customFormat="1" ht="46.15" customHeight="1">
      <c r="A43" s="102" t="s">
        <v>109</v>
      </c>
      <c r="B43" s="103" t="s">
        <v>555</v>
      </c>
      <c r="C43" s="6"/>
      <c r="D43" s="6"/>
      <c r="E43" s="6"/>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s="88" customFormat="1" ht="42" customHeight="1">
      <c r="A44" s="5"/>
      <c r="B44" s="19" t="s">
        <v>206</v>
      </c>
      <c r="C44" s="7"/>
      <c r="D44" s="7"/>
      <c r="E44" s="7"/>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row>
    <row r="45" spans="1:41" ht="6" customHeight="1">
      <c r="A45" s="5"/>
      <c r="B45" s="19"/>
      <c r="C45" s="7"/>
      <c r="D45" s="7"/>
      <c r="E45" s="7"/>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126"/>
    </row>
    <row r="46" spans="1:41" s="96" customFormat="1" ht="26.65" customHeight="1">
      <c r="A46" s="117"/>
      <c r="B46" s="1246" t="s">
        <v>559</v>
      </c>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c r="AM46" s="1246"/>
      <c r="AN46" s="1246"/>
      <c r="AO46" s="1246"/>
    </row>
    <row r="47" spans="1:41" ht="19.899999999999999" customHeight="1">
      <c r="A47" s="89"/>
      <c r="B47" s="118"/>
      <c r="C47" s="119"/>
      <c r="D47" s="119"/>
      <c r="E47" s="119"/>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row>
    <row r="48" spans="1:41" ht="19.899999999999999" customHeight="1">
      <c r="A48" s="89"/>
      <c r="B48" s="118"/>
      <c r="C48" s="119"/>
      <c r="D48" s="119"/>
      <c r="E48" s="119"/>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row>
    <row r="49" spans="1:53" ht="19.899999999999999" customHeight="1">
      <c r="A49" s="89"/>
      <c r="B49" s="118"/>
      <c r="C49" s="119"/>
      <c r="D49" s="119"/>
      <c r="E49" s="119"/>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row>
    <row r="50" spans="1:53" s="97" customFormat="1" ht="19.899999999999999" customHeight="1">
      <c r="A50" s="89"/>
      <c r="B50" s="118"/>
      <c r="C50" s="119"/>
      <c r="D50" s="119"/>
      <c r="E50" s="119"/>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P50" s="101"/>
      <c r="AQ50" s="101"/>
      <c r="AR50" s="101"/>
      <c r="AS50" s="101"/>
      <c r="AT50" s="101"/>
      <c r="AU50" s="101"/>
      <c r="AV50" s="101"/>
      <c r="AW50" s="101"/>
      <c r="AX50" s="101"/>
      <c r="AY50" s="101"/>
      <c r="AZ50" s="101"/>
      <c r="BA50" s="101"/>
    </row>
    <row r="51" spans="1:53" s="97" customFormat="1" ht="19.899999999999999" customHeight="1">
      <c r="A51" s="89"/>
      <c r="B51" s="118"/>
      <c r="C51" s="119"/>
      <c r="D51" s="119"/>
      <c r="E51" s="119"/>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P51" s="101"/>
      <c r="AQ51" s="101"/>
      <c r="AR51" s="101"/>
      <c r="AS51" s="101"/>
      <c r="AT51" s="101"/>
      <c r="AU51" s="101"/>
      <c r="AV51" s="101"/>
      <c r="AW51" s="101"/>
      <c r="AX51" s="101"/>
      <c r="AY51" s="101"/>
      <c r="AZ51" s="101"/>
      <c r="BA51" s="101"/>
    </row>
    <row r="52" spans="1:53" s="97" customFormat="1" ht="19.899999999999999" customHeight="1">
      <c r="A52" s="89"/>
      <c r="B52" s="118"/>
      <c r="C52" s="119"/>
      <c r="D52" s="119"/>
      <c r="E52" s="119"/>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P52" s="101"/>
      <c r="AQ52" s="101"/>
      <c r="AR52" s="101"/>
      <c r="AS52" s="101"/>
      <c r="AT52" s="101"/>
      <c r="AU52" s="101"/>
      <c r="AV52" s="101"/>
      <c r="AW52" s="101"/>
      <c r="AX52" s="101"/>
      <c r="AY52" s="101"/>
      <c r="AZ52" s="101"/>
      <c r="BA52" s="101"/>
    </row>
    <row r="53" spans="1:53" s="97" customFormat="1" ht="19.899999999999999" customHeight="1">
      <c r="A53" s="89"/>
      <c r="B53" s="118"/>
      <c r="C53" s="119"/>
      <c r="D53" s="119"/>
      <c r="E53" s="119"/>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P53" s="101"/>
      <c r="AQ53" s="101"/>
      <c r="AR53" s="101"/>
      <c r="AS53" s="101"/>
      <c r="AT53" s="101"/>
      <c r="AU53" s="101"/>
      <c r="AV53" s="101"/>
      <c r="AW53" s="101"/>
      <c r="AX53" s="101"/>
      <c r="AY53" s="101"/>
      <c r="AZ53" s="101"/>
      <c r="BA53" s="101"/>
    </row>
    <row r="54" spans="1:53" s="97" customFormat="1" ht="19.899999999999999" customHeight="1">
      <c r="A54" s="89"/>
      <c r="B54" s="118"/>
      <c r="C54" s="119"/>
      <c r="D54" s="119"/>
      <c r="E54" s="119"/>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P54" s="101"/>
      <c r="AQ54" s="101"/>
      <c r="AR54" s="101"/>
      <c r="AS54" s="101"/>
      <c r="AT54" s="101"/>
      <c r="AU54" s="101"/>
      <c r="AV54" s="101"/>
      <c r="AW54" s="101"/>
      <c r="AX54" s="101"/>
      <c r="AY54" s="101"/>
      <c r="AZ54" s="101"/>
      <c r="BA54" s="101"/>
    </row>
    <row r="55" spans="1:53" s="97" customFormat="1" ht="19.899999999999999" customHeight="1">
      <c r="A55" s="89"/>
      <c r="B55" s="118"/>
      <c r="C55" s="119"/>
      <c r="D55" s="119"/>
      <c r="E55" s="119"/>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P55" s="101"/>
      <c r="AQ55" s="101"/>
      <c r="AR55" s="101"/>
      <c r="AS55" s="101"/>
      <c r="AT55" s="101"/>
      <c r="AU55" s="101"/>
      <c r="AV55" s="101"/>
      <c r="AW55" s="101"/>
      <c r="AX55" s="101"/>
      <c r="AY55" s="101"/>
      <c r="AZ55" s="101"/>
      <c r="BA55" s="101"/>
    </row>
    <row r="56" spans="1:53" s="97" customFormat="1" ht="19.899999999999999" customHeight="1">
      <c r="A56" s="89"/>
      <c r="B56" s="118"/>
      <c r="C56" s="119"/>
      <c r="D56" s="119"/>
      <c r="E56" s="119"/>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P56" s="101"/>
      <c r="AQ56" s="101"/>
      <c r="AR56" s="101"/>
      <c r="AS56" s="101"/>
      <c r="AT56" s="101"/>
      <c r="AU56" s="101"/>
      <c r="AV56" s="101"/>
      <c r="AW56" s="101"/>
      <c r="AX56" s="101"/>
      <c r="AY56" s="101"/>
      <c r="AZ56" s="101"/>
      <c r="BA56" s="101"/>
    </row>
    <row r="57" spans="1:53" s="97" customFormat="1" ht="19.899999999999999" customHeight="1">
      <c r="A57" s="89"/>
      <c r="B57" s="118"/>
      <c r="C57" s="119"/>
      <c r="D57" s="119"/>
      <c r="E57" s="119"/>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P57" s="101"/>
      <c r="AQ57" s="101"/>
      <c r="AR57" s="101"/>
      <c r="AS57" s="101"/>
      <c r="AT57" s="101"/>
      <c r="AU57" s="101"/>
      <c r="AV57" s="101"/>
      <c r="AW57" s="101"/>
      <c r="AX57" s="101"/>
      <c r="AY57" s="101"/>
      <c r="AZ57" s="101"/>
      <c r="BA57" s="101"/>
    </row>
    <row r="58" spans="1:53" s="97" customFormat="1" ht="19.899999999999999" customHeight="1">
      <c r="A58" s="89"/>
      <c r="B58" s="118"/>
      <c r="C58" s="119"/>
      <c r="D58" s="119"/>
      <c r="E58" s="119"/>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P58" s="101"/>
      <c r="AQ58" s="101"/>
      <c r="AR58" s="101"/>
      <c r="AS58" s="101"/>
      <c r="AT58" s="101"/>
      <c r="AU58" s="101"/>
      <c r="AV58" s="101"/>
      <c r="AW58" s="101"/>
      <c r="AX58" s="101"/>
      <c r="AY58" s="101"/>
      <c r="AZ58" s="101"/>
      <c r="BA58" s="101"/>
    </row>
    <row r="59" spans="1:53" s="97" customFormat="1" ht="15.75">
      <c r="A59" s="89"/>
      <c r="B59" s="118"/>
      <c r="C59" s="119"/>
      <c r="D59" s="119"/>
      <c r="E59" s="119"/>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P59" s="101"/>
      <c r="AQ59" s="101"/>
      <c r="AR59" s="101"/>
      <c r="AS59" s="101"/>
      <c r="AT59" s="101"/>
      <c r="AU59" s="101"/>
      <c r="AV59" s="101"/>
      <c r="AW59" s="101"/>
      <c r="AX59" s="101"/>
      <c r="AY59" s="101"/>
      <c r="AZ59" s="101"/>
      <c r="BA59" s="101"/>
    </row>
    <row r="60" spans="1:53" s="97" customFormat="1" ht="15.75">
      <c r="A60" s="89"/>
      <c r="B60" s="118"/>
      <c r="C60" s="119"/>
      <c r="D60" s="119"/>
      <c r="E60" s="119"/>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P60" s="101"/>
      <c r="AQ60" s="101"/>
      <c r="AR60" s="101"/>
      <c r="AS60" s="101"/>
      <c r="AT60" s="101"/>
      <c r="AU60" s="101"/>
      <c r="AV60" s="101"/>
      <c r="AW60" s="101"/>
      <c r="AX60" s="101"/>
      <c r="AY60" s="101"/>
      <c r="AZ60" s="101"/>
      <c r="BA60" s="101"/>
    </row>
    <row r="61" spans="1:53" s="97" customFormat="1" ht="15.75">
      <c r="A61" s="89"/>
      <c r="B61" s="118"/>
      <c r="C61" s="119"/>
      <c r="D61" s="119"/>
      <c r="E61" s="119"/>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P61" s="101"/>
      <c r="AQ61" s="101"/>
      <c r="AR61" s="101"/>
      <c r="AS61" s="101"/>
      <c r="AT61" s="101"/>
      <c r="AU61" s="101"/>
      <c r="AV61" s="101"/>
      <c r="AW61" s="101"/>
      <c r="AX61" s="101"/>
      <c r="AY61" s="101"/>
      <c r="AZ61" s="101"/>
      <c r="BA61" s="101"/>
    </row>
    <row r="62" spans="1:53" s="97" customFormat="1" ht="15.75">
      <c r="A62" s="89"/>
      <c r="B62" s="118"/>
      <c r="C62" s="119"/>
      <c r="D62" s="119"/>
      <c r="E62" s="119"/>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P62" s="101"/>
      <c r="AQ62" s="101"/>
      <c r="AR62" s="101"/>
      <c r="AS62" s="101"/>
      <c r="AT62" s="101"/>
      <c r="AU62" s="101"/>
      <c r="AV62" s="101"/>
      <c r="AW62" s="101"/>
      <c r="AX62" s="101"/>
      <c r="AY62" s="101"/>
      <c r="AZ62" s="101"/>
      <c r="BA62" s="101"/>
    </row>
    <row r="63" spans="1:53" s="97" customFormat="1" ht="15.75">
      <c r="A63" s="89"/>
      <c r="B63" s="118"/>
      <c r="C63" s="119"/>
      <c r="D63" s="119"/>
      <c r="E63" s="119"/>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P63" s="101"/>
      <c r="AQ63" s="101"/>
      <c r="AR63" s="101"/>
      <c r="AS63" s="101"/>
      <c r="AT63" s="101"/>
      <c r="AU63" s="101"/>
      <c r="AV63" s="101"/>
      <c r="AW63" s="101"/>
      <c r="AX63" s="101"/>
      <c r="AY63" s="101"/>
      <c r="AZ63" s="101"/>
      <c r="BA63" s="101"/>
    </row>
    <row r="64" spans="1:53" s="97" customFormat="1" ht="15.75">
      <c r="A64" s="89"/>
      <c r="B64" s="118"/>
      <c r="C64" s="119"/>
      <c r="D64" s="119"/>
      <c r="E64" s="119"/>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P64" s="101"/>
      <c r="AQ64" s="101"/>
      <c r="AR64" s="101"/>
      <c r="AS64" s="101"/>
      <c r="AT64" s="101"/>
      <c r="AU64" s="101"/>
      <c r="AV64" s="101"/>
      <c r="AW64" s="101"/>
      <c r="AX64" s="101"/>
      <c r="AY64" s="101"/>
      <c r="AZ64" s="101"/>
      <c r="BA64" s="101"/>
    </row>
    <row r="65" spans="1:53" s="97" customFormat="1" ht="15.75">
      <c r="A65" s="89"/>
      <c r="B65" s="118"/>
      <c r="C65" s="119"/>
      <c r="D65" s="119"/>
      <c r="E65" s="119"/>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P65" s="101"/>
      <c r="AQ65" s="101"/>
      <c r="AR65" s="101"/>
      <c r="AS65" s="101"/>
      <c r="AT65" s="101"/>
      <c r="AU65" s="101"/>
      <c r="AV65" s="101"/>
      <c r="AW65" s="101"/>
      <c r="AX65" s="101"/>
      <c r="AY65" s="101"/>
      <c r="AZ65" s="101"/>
      <c r="BA65" s="101"/>
    </row>
    <row r="66" spans="1:53" s="97" customFormat="1" ht="15.75">
      <c r="A66" s="89"/>
      <c r="B66" s="118"/>
      <c r="C66" s="119"/>
      <c r="D66" s="119"/>
      <c r="E66" s="119"/>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P66" s="101"/>
      <c r="AQ66" s="101"/>
      <c r="AR66" s="101"/>
      <c r="AS66" s="101"/>
      <c r="AT66" s="101"/>
      <c r="AU66" s="101"/>
      <c r="AV66" s="101"/>
      <c r="AW66" s="101"/>
      <c r="AX66" s="101"/>
      <c r="AY66" s="101"/>
      <c r="AZ66" s="101"/>
      <c r="BA66" s="101"/>
    </row>
    <row r="67" spans="1:53" s="97" customFormat="1" ht="15.75">
      <c r="A67" s="89"/>
      <c r="B67" s="118"/>
      <c r="C67" s="119"/>
      <c r="D67" s="119"/>
      <c r="E67" s="119"/>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P67" s="101"/>
      <c r="AQ67" s="101"/>
      <c r="AR67" s="101"/>
      <c r="AS67" s="101"/>
      <c r="AT67" s="101"/>
      <c r="AU67" s="101"/>
      <c r="AV67" s="101"/>
      <c r="AW67" s="101"/>
      <c r="AX67" s="101"/>
      <c r="AY67" s="101"/>
      <c r="AZ67" s="101"/>
      <c r="BA67" s="101"/>
    </row>
    <row r="68" spans="1:53" s="97" customFormat="1" ht="15.75">
      <c r="A68" s="89"/>
      <c r="B68" s="118"/>
      <c r="C68" s="119"/>
      <c r="D68" s="119"/>
      <c r="E68" s="119"/>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P68" s="101"/>
      <c r="AQ68" s="101"/>
      <c r="AR68" s="101"/>
      <c r="AS68" s="101"/>
      <c r="AT68" s="101"/>
      <c r="AU68" s="101"/>
      <c r="AV68" s="101"/>
      <c r="AW68" s="101"/>
      <c r="AX68" s="101"/>
      <c r="AY68" s="101"/>
      <c r="AZ68" s="101"/>
      <c r="BA68" s="101"/>
    </row>
    <row r="69" spans="1:53" s="97" customFormat="1" ht="15.75">
      <c r="A69" s="89"/>
      <c r="B69" s="118"/>
      <c r="C69" s="119"/>
      <c r="D69" s="119"/>
      <c r="E69" s="119"/>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P69" s="101"/>
      <c r="AQ69" s="101"/>
      <c r="AR69" s="101"/>
      <c r="AS69" s="101"/>
      <c r="AT69" s="101"/>
      <c r="AU69" s="101"/>
      <c r="AV69" s="101"/>
      <c r="AW69" s="101"/>
      <c r="AX69" s="101"/>
      <c r="AY69" s="101"/>
      <c r="AZ69" s="101"/>
      <c r="BA69" s="101"/>
    </row>
    <row r="70" spans="1:53" s="97" customFormat="1" ht="15.75">
      <c r="A70" s="89"/>
      <c r="B70" s="118"/>
      <c r="C70" s="119"/>
      <c r="D70" s="119"/>
      <c r="E70" s="119"/>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P70" s="101"/>
      <c r="AQ70" s="101"/>
      <c r="AR70" s="101"/>
      <c r="AS70" s="101"/>
      <c r="AT70" s="101"/>
      <c r="AU70" s="101"/>
      <c r="AV70" s="101"/>
      <c r="AW70" s="101"/>
      <c r="AX70" s="101"/>
      <c r="AY70" s="101"/>
      <c r="AZ70" s="101"/>
      <c r="BA70" s="101"/>
    </row>
    <row r="71" spans="1:53" s="97" customFormat="1" ht="15.75">
      <c r="A71" s="89"/>
      <c r="B71" s="118"/>
      <c r="C71" s="119"/>
      <c r="D71" s="119"/>
      <c r="E71" s="119"/>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P71" s="101"/>
      <c r="AQ71" s="101"/>
      <c r="AR71" s="101"/>
      <c r="AS71" s="101"/>
      <c r="AT71" s="101"/>
      <c r="AU71" s="101"/>
      <c r="AV71" s="101"/>
      <c r="AW71" s="101"/>
      <c r="AX71" s="101"/>
      <c r="AY71" s="101"/>
      <c r="AZ71" s="101"/>
      <c r="BA71" s="101"/>
    </row>
    <row r="72" spans="1:53" s="97" customFormat="1" ht="15.75">
      <c r="A72" s="89"/>
      <c r="B72" s="118"/>
      <c r="C72" s="119"/>
      <c r="D72" s="119"/>
      <c r="E72" s="119"/>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P72" s="101"/>
      <c r="AQ72" s="101"/>
      <c r="AR72" s="101"/>
      <c r="AS72" s="101"/>
      <c r="AT72" s="101"/>
      <c r="AU72" s="101"/>
      <c r="AV72" s="101"/>
      <c r="AW72" s="101"/>
      <c r="AX72" s="101"/>
      <c r="AY72" s="101"/>
      <c r="AZ72" s="101"/>
      <c r="BA72" s="101"/>
    </row>
    <row r="73" spans="1:53" s="97" customFormat="1" ht="15.75">
      <c r="A73" s="89"/>
      <c r="B73" s="118"/>
      <c r="C73" s="119"/>
      <c r="D73" s="119"/>
      <c r="E73" s="119"/>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P73" s="101"/>
      <c r="AQ73" s="101"/>
      <c r="AR73" s="101"/>
      <c r="AS73" s="101"/>
      <c r="AT73" s="101"/>
      <c r="AU73" s="101"/>
      <c r="AV73" s="101"/>
      <c r="AW73" s="101"/>
      <c r="AX73" s="101"/>
      <c r="AY73" s="101"/>
      <c r="AZ73" s="101"/>
      <c r="BA73" s="101"/>
    </row>
    <row r="74" spans="1:53" s="97" customFormat="1" ht="15.75">
      <c r="A74" s="89"/>
      <c r="B74" s="118"/>
      <c r="C74" s="119"/>
      <c r="D74" s="119"/>
      <c r="E74" s="119"/>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P74" s="101"/>
      <c r="AQ74" s="101"/>
      <c r="AR74" s="101"/>
      <c r="AS74" s="101"/>
      <c r="AT74" s="101"/>
      <c r="AU74" s="101"/>
      <c r="AV74" s="101"/>
      <c r="AW74" s="101"/>
      <c r="AX74" s="101"/>
      <c r="AY74" s="101"/>
      <c r="AZ74" s="101"/>
      <c r="BA74" s="101"/>
    </row>
    <row r="75" spans="1:53" s="97" customFormat="1" ht="15.75">
      <c r="A75" s="89"/>
      <c r="B75" s="118"/>
      <c r="C75" s="119"/>
      <c r="D75" s="119"/>
      <c r="E75" s="119"/>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P75" s="101"/>
      <c r="AQ75" s="101"/>
      <c r="AR75" s="101"/>
      <c r="AS75" s="101"/>
      <c r="AT75" s="101"/>
      <c r="AU75" s="101"/>
      <c r="AV75" s="101"/>
      <c r="AW75" s="101"/>
      <c r="AX75" s="101"/>
      <c r="AY75" s="101"/>
      <c r="AZ75" s="101"/>
      <c r="BA75" s="101"/>
    </row>
    <row r="76" spans="1:53" s="97" customFormat="1" ht="15.75">
      <c r="A76" s="89"/>
      <c r="B76" s="118"/>
      <c r="C76" s="119"/>
      <c r="D76" s="119"/>
      <c r="E76" s="119"/>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P76" s="101"/>
      <c r="AQ76" s="101"/>
      <c r="AR76" s="101"/>
      <c r="AS76" s="101"/>
      <c r="AT76" s="101"/>
      <c r="AU76" s="101"/>
      <c r="AV76" s="101"/>
      <c r="AW76" s="101"/>
      <c r="AX76" s="101"/>
      <c r="AY76" s="101"/>
      <c r="AZ76" s="101"/>
      <c r="BA76" s="101"/>
    </row>
    <row r="77" spans="1:53" s="97" customFormat="1" ht="15.75">
      <c r="A77" s="89"/>
      <c r="B77" s="118"/>
      <c r="C77" s="119"/>
      <c r="D77" s="119"/>
      <c r="E77" s="119"/>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P77" s="101"/>
      <c r="AQ77" s="101"/>
      <c r="AR77" s="101"/>
      <c r="AS77" s="101"/>
      <c r="AT77" s="101"/>
      <c r="AU77" s="101"/>
      <c r="AV77" s="101"/>
      <c r="AW77" s="101"/>
      <c r="AX77" s="101"/>
      <c r="AY77" s="101"/>
      <c r="AZ77" s="101"/>
      <c r="BA77" s="101"/>
    </row>
    <row r="78" spans="1:53" s="97" customFormat="1" ht="15.75">
      <c r="A78" s="89"/>
      <c r="B78" s="118"/>
      <c r="C78" s="119"/>
      <c r="D78" s="119"/>
      <c r="E78" s="119"/>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P78" s="101"/>
      <c r="AQ78" s="101"/>
      <c r="AR78" s="101"/>
      <c r="AS78" s="101"/>
      <c r="AT78" s="101"/>
      <c r="AU78" s="101"/>
      <c r="AV78" s="101"/>
      <c r="AW78" s="101"/>
      <c r="AX78" s="101"/>
      <c r="AY78" s="101"/>
      <c r="AZ78" s="101"/>
      <c r="BA78" s="101"/>
    </row>
    <row r="79" spans="1:53" s="97" customFormat="1" ht="15.75">
      <c r="A79" s="89"/>
      <c r="B79" s="118"/>
      <c r="C79" s="119"/>
      <c r="D79" s="119"/>
      <c r="E79" s="119"/>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P79" s="101"/>
      <c r="AQ79" s="101"/>
      <c r="AR79" s="101"/>
      <c r="AS79" s="101"/>
      <c r="AT79" s="101"/>
      <c r="AU79" s="101"/>
      <c r="AV79" s="101"/>
      <c r="AW79" s="101"/>
      <c r="AX79" s="101"/>
      <c r="AY79" s="101"/>
      <c r="AZ79" s="101"/>
      <c r="BA79" s="101"/>
    </row>
    <row r="80" spans="1:53" s="97" customFormat="1" ht="15.75">
      <c r="A80" s="89"/>
      <c r="B80" s="118"/>
      <c r="C80" s="119"/>
      <c r="D80" s="119"/>
      <c r="E80" s="119"/>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P80" s="101"/>
      <c r="AQ80" s="101"/>
      <c r="AR80" s="101"/>
      <c r="AS80" s="101"/>
      <c r="AT80" s="101"/>
      <c r="AU80" s="101"/>
      <c r="AV80" s="101"/>
      <c r="AW80" s="101"/>
      <c r="AX80" s="101"/>
      <c r="AY80" s="101"/>
      <c r="AZ80" s="101"/>
      <c r="BA80" s="101"/>
    </row>
    <row r="81" spans="1:53" s="97" customFormat="1" ht="15.75">
      <c r="A81" s="89"/>
      <c r="B81" s="118"/>
      <c r="C81" s="119"/>
      <c r="D81" s="119"/>
      <c r="E81" s="119"/>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P81" s="101"/>
      <c r="AQ81" s="101"/>
      <c r="AR81" s="101"/>
      <c r="AS81" s="101"/>
      <c r="AT81" s="101"/>
      <c r="AU81" s="101"/>
      <c r="AV81" s="101"/>
      <c r="AW81" s="101"/>
      <c r="AX81" s="101"/>
      <c r="AY81" s="101"/>
      <c r="AZ81" s="101"/>
      <c r="BA81" s="101"/>
    </row>
    <row r="82" spans="1:53" s="97" customFormat="1" ht="15.75">
      <c r="A82" s="89"/>
      <c r="B82" s="118"/>
      <c r="C82" s="119"/>
      <c r="D82" s="119"/>
      <c r="E82" s="119"/>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P82" s="101"/>
      <c r="AQ82" s="101"/>
      <c r="AR82" s="101"/>
      <c r="AS82" s="101"/>
      <c r="AT82" s="101"/>
      <c r="AU82" s="101"/>
      <c r="AV82" s="101"/>
      <c r="AW82" s="101"/>
      <c r="AX82" s="101"/>
      <c r="AY82" s="101"/>
      <c r="AZ82" s="101"/>
      <c r="BA82" s="101"/>
    </row>
    <row r="83" spans="1:53" s="97" customFormat="1" ht="15.75">
      <c r="A83" s="89"/>
      <c r="B83" s="118"/>
      <c r="C83" s="119"/>
      <c r="D83" s="119"/>
      <c r="E83" s="119"/>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P83" s="101"/>
      <c r="AQ83" s="101"/>
      <c r="AR83" s="101"/>
      <c r="AS83" s="101"/>
      <c r="AT83" s="101"/>
      <c r="AU83" s="101"/>
      <c r="AV83" s="101"/>
      <c r="AW83" s="101"/>
      <c r="AX83" s="101"/>
      <c r="AY83" s="101"/>
      <c r="AZ83" s="101"/>
      <c r="BA83" s="101"/>
    </row>
    <row r="84" spans="1:53" s="97" customFormat="1" ht="15.75">
      <c r="A84" s="89"/>
      <c r="B84" s="118"/>
      <c r="C84" s="119"/>
      <c r="D84" s="119"/>
      <c r="E84" s="119"/>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P84" s="101"/>
      <c r="AQ84" s="101"/>
      <c r="AR84" s="101"/>
      <c r="AS84" s="101"/>
      <c r="AT84" s="101"/>
      <c r="AU84" s="101"/>
      <c r="AV84" s="101"/>
      <c r="AW84" s="101"/>
      <c r="AX84" s="101"/>
      <c r="AY84" s="101"/>
      <c r="AZ84" s="101"/>
      <c r="BA84" s="101"/>
    </row>
    <row r="85" spans="1:53" s="97" customFormat="1" ht="15.75">
      <c r="A85" s="89"/>
      <c r="B85" s="118"/>
      <c r="C85" s="119"/>
      <c r="D85" s="119"/>
      <c r="E85" s="119"/>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P85" s="101"/>
      <c r="AQ85" s="101"/>
      <c r="AR85" s="101"/>
      <c r="AS85" s="101"/>
      <c r="AT85" s="101"/>
      <c r="AU85" s="101"/>
      <c r="AV85" s="101"/>
      <c r="AW85" s="101"/>
      <c r="AX85" s="101"/>
      <c r="AY85" s="101"/>
      <c r="AZ85" s="101"/>
      <c r="BA85" s="101"/>
    </row>
    <row r="86" spans="1:53" s="97" customFormat="1" ht="15.75">
      <c r="A86" s="89"/>
      <c r="B86" s="118"/>
      <c r="C86" s="119"/>
      <c r="D86" s="119"/>
      <c r="E86" s="119"/>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P86" s="101"/>
      <c r="AQ86" s="101"/>
      <c r="AR86" s="101"/>
      <c r="AS86" s="101"/>
      <c r="AT86" s="101"/>
      <c r="AU86" s="101"/>
      <c r="AV86" s="101"/>
      <c r="AW86" s="101"/>
      <c r="AX86" s="101"/>
      <c r="AY86" s="101"/>
      <c r="AZ86" s="101"/>
      <c r="BA86" s="101"/>
    </row>
    <row r="87" spans="1:53" s="97" customFormat="1" ht="15.75">
      <c r="A87" s="89"/>
      <c r="B87" s="118"/>
      <c r="C87" s="119"/>
      <c r="D87" s="119"/>
      <c r="E87" s="119"/>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P87" s="101"/>
      <c r="AQ87" s="101"/>
      <c r="AR87" s="101"/>
      <c r="AS87" s="101"/>
      <c r="AT87" s="101"/>
      <c r="AU87" s="101"/>
      <c r="AV87" s="101"/>
      <c r="AW87" s="101"/>
      <c r="AX87" s="101"/>
      <c r="AY87" s="101"/>
      <c r="AZ87" s="101"/>
      <c r="BA87" s="101"/>
    </row>
    <row r="88" spans="1:53" s="97" customFormat="1" ht="15.75">
      <c r="A88" s="89"/>
      <c r="B88" s="118"/>
      <c r="C88" s="119"/>
      <c r="D88" s="119"/>
      <c r="E88" s="119"/>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P88" s="101"/>
      <c r="AQ88" s="101"/>
      <c r="AR88" s="101"/>
      <c r="AS88" s="101"/>
      <c r="AT88" s="101"/>
      <c r="AU88" s="101"/>
      <c r="AV88" s="101"/>
      <c r="AW88" s="101"/>
      <c r="AX88" s="101"/>
      <c r="AY88" s="101"/>
      <c r="AZ88" s="101"/>
      <c r="BA88" s="101"/>
    </row>
    <row r="89" spans="1:53" s="97" customFormat="1" ht="15.75">
      <c r="A89" s="89"/>
      <c r="B89" s="118"/>
      <c r="C89" s="119"/>
      <c r="D89" s="119"/>
      <c r="E89" s="119"/>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P89" s="101"/>
      <c r="AQ89" s="101"/>
      <c r="AR89" s="101"/>
      <c r="AS89" s="101"/>
      <c r="AT89" s="101"/>
      <c r="AU89" s="101"/>
      <c r="AV89" s="101"/>
      <c r="AW89" s="101"/>
      <c r="AX89" s="101"/>
      <c r="AY89" s="101"/>
      <c r="AZ89" s="101"/>
      <c r="BA89" s="101"/>
    </row>
    <row r="90" spans="1:53" s="97" customFormat="1" ht="15.75">
      <c r="A90" s="89"/>
      <c r="B90" s="118"/>
      <c r="C90" s="119"/>
      <c r="D90" s="119"/>
      <c r="E90" s="119"/>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P90" s="101"/>
      <c r="AQ90" s="101"/>
      <c r="AR90" s="101"/>
      <c r="AS90" s="101"/>
      <c r="AT90" s="101"/>
      <c r="AU90" s="101"/>
      <c r="AV90" s="101"/>
      <c r="AW90" s="101"/>
      <c r="AX90" s="101"/>
      <c r="AY90" s="101"/>
      <c r="AZ90" s="101"/>
      <c r="BA90" s="101"/>
    </row>
    <row r="91" spans="1:53" s="97" customFormat="1" ht="15.75">
      <c r="A91" s="89"/>
      <c r="B91" s="118"/>
      <c r="C91" s="119"/>
      <c r="D91" s="119"/>
      <c r="E91" s="119"/>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P91" s="101"/>
      <c r="AQ91" s="101"/>
      <c r="AR91" s="101"/>
      <c r="AS91" s="101"/>
      <c r="AT91" s="101"/>
      <c r="AU91" s="101"/>
      <c r="AV91" s="101"/>
      <c r="AW91" s="101"/>
      <c r="AX91" s="101"/>
      <c r="AY91" s="101"/>
      <c r="AZ91" s="101"/>
      <c r="BA91" s="101"/>
    </row>
    <row r="92" spans="1:53" s="97" customFormat="1" ht="15.75">
      <c r="A92" s="89"/>
      <c r="B92" s="118"/>
      <c r="C92" s="119"/>
      <c r="D92" s="119"/>
      <c r="E92" s="119"/>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P92" s="101"/>
      <c r="AQ92" s="101"/>
      <c r="AR92" s="101"/>
      <c r="AS92" s="101"/>
      <c r="AT92" s="101"/>
      <c r="AU92" s="101"/>
      <c r="AV92" s="101"/>
      <c r="AW92" s="101"/>
      <c r="AX92" s="101"/>
      <c r="AY92" s="101"/>
      <c r="AZ92" s="101"/>
      <c r="BA92" s="101"/>
    </row>
    <row r="93" spans="1:53" s="97" customFormat="1" ht="15.75">
      <c r="A93" s="89"/>
      <c r="B93" s="118"/>
      <c r="C93" s="119"/>
      <c r="D93" s="119"/>
      <c r="E93" s="119"/>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P93" s="101"/>
      <c r="AQ93" s="101"/>
      <c r="AR93" s="101"/>
      <c r="AS93" s="101"/>
      <c r="AT93" s="101"/>
      <c r="AU93" s="101"/>
      <c r="AV93" s="101"/>
      <c r="AW93" s="101"/>
      <c r="AX93" s="101"/>
      <c r="AY93" s="101"/>
      <c r="AZ93" s="101"/>
      <c r="BA93" s="101"/>
    </row>
    <row r="94" spans="1:53" s="97" customFormat="1" ht="15.75">
      <c r="A94" s="89"/>
      <c r="B94" s="118"/>
      <c r="C94" s="119"/>
      <c r="D94" s="119"/>
      <c r="E94" s="119"/>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P94" s="101"/>
      <c r="AQ94" s="101"/>
      <c r="AR94" s="101"/>
      <c r="AS94" s="101"/>
      <c r="AT94" s="101"/>
      <c r="AU94" s="101"/>
      <c r="AV94" s="101"/>
      <c r="AW94" s="101"/>
      <c r="AX94" s="101"/>
      <c r="AY94" s="101"/>
      <c r="AZ94" s="101"/>
      <c r="BA94" s="101"/>
    </row>
    <row r="95" spans="1:53" s="97" customFormat="1" ht="15.75">
      <c r="A95" s="89"/>
      <c r="B95" s="118"/>
      <c r="C95" s="119"/>
      <c r="D95" s="119"/>
      <c r="E95" s="119"/>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P95" s="101"/>
      <c r="AQ95" s="101"/>
      <c r="AR95" s="101"/>
      <c r="AS95" s="101"/>
      <c r="AT95" s="101"/>
      <c r="AU95" s="101"/>
      <c r="AV95" s="101"/>
      <c r="AW95" s="101"/>
      <c r="AX95" s="101"/>
      <c r="AY95" s="101"/>
      <c r="AZ95" s="101"/>
      <c r="BA95" s="101"/>
    </row>
    <row r="96" spans="1:53" s="97" customFormat="1" ht="15.75">
      <c r="A96" s="89"/>
      <c r="B96" s="118"/>
      <c r="C96" s="119"/>
      <c r="D96" s="119"/>
      <c r="E96" s="119"/>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P96" s="101"/>
      <c r="AQ96" s="101"/>
      <c r="AR96" s="101"/>
      <c r="AS96" s="101"/>
      <c r="AT96" s="101"/>
      <c r="AU96" s="101"/>
      <c r="AV96" s="101"/>
      <c r="AW96" s="101"/>
      <c r="AX96" s="101"/>
      <c r="AY96" s="101"/>
      <c r="AZ96" s="101"/>
      <c r="BA96" s="101"/>
    </row>
    <row r="97" spans="1:53" s="97" customFormat="1" ht="15.75">
      <c r="A97" s="89"/>
      <c r="B97" s="118"/>
      <c r="C97" s="119"/>
      <c r="D97" s="119"/>
      <c r="E97" s="119"/>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P97" s="101"/>
      <c r="AQ97" s="101"/>
      <c r="AR97" s="101"/>
      <c r="AS97" s="101"/>
      <c r="AT97" s="101"/>
      <c r="AU97" s="101"/>
      <c r="AV97" s="101"/>
      <c r="AW97" s="101"/>
      <c r="AX97" s="101"/>
      <c r="AY97" s="101"/>
      <c r="AZ97" s="101"/>
      <c r="BA97" s="101"/>
    </row>
    <row r="98" spans="1:53" s="97" customFormat="1" ht="15.75">
      <c r="A98" s="89"/>
      <c r="B98" s="118"/>
      <c r="C98" s="119"/>
      <c r="D98" s="119"/>
      <c r="E98" s="119"/>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P98" s="101"/>
      <c r="AQ98" s="101"/>
      <c r="AR98" s="101"/>
      <c r="AS98" s="101"/>
      <c r="AT98" s="101"/>
      <c r="AU98" s="101"/>
      <c r="AV98" s="101"/>
      <c r="AW98" s="101"/>
      <c r="AX98" s="101"/>
      <c r="AY98" s="101"/>
      <c r="AZ98" s="101"/>
      <c r="BA98" s="101"/>
    </row>
    <row r="99" spans="1:53" s="97" customFormat="1" ht="15.75">
      <c r="A99" s="89"/>
      <c r="B99" s="118"/>
      <c r="C99" s="119"/>
      <c r="D99" s="119"/>
      <c r="E99" s="119"/>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P99" s="101"/>
      <c r="AQ99" s="101"/>
      <c r="AR99" s="101"/>
      <c r="AS99" s="101"/>
      <c r="AT99" s="101"/>
      <c r="AU99" s="101"/>
      <c r="AV99" s="101"/>
      <c r="AW99" s="101"/>
      <c r="AX99" s="101"/>
      <c r="AY99" s="101"/>
      <c r="AZ99" s="101"/>
      <c r="BA99" s="101"/>
    </row>
    <row r="100" spans="1:53" s="97" customFormat="1" ht="15.75">
      <c r="A100" s="89"/>
      <c r="B100" s="118"/>
      <c r="C100" s="119"/>
      <c r="D100" s="119"/>
      <c r="E100" s="119"/>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P100" s="101"/>
      <c r="AQ100" s="101"/>
      <c r="AR100" s="101"/>
      <c r="AS100" s="101"/>
      <c r="AT100" s="101"/>
      <c r="AU100" s="101"/>
      <c r="AV100" s="101"/>
      <c r="AW100" s="101"/>
      <c r="AX100" s="101"/>
      <c r="AY100" s="101"/>
      <c r="AZ100" s="101"/>
      <c r="BA100" s="101"/>
    </row>
    <row r="101" spans="1:53" s="97" customFormat="1" ht="15.75">
      <c r="A101" s="89"/>
      <c r="B101" s="118"/>
      <c r="C101" s="119"/>
      <c r="D101" s="119"/>
      <c r="E101" s="119"/>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P101" s="101"/>
      <c r="AQ101" s="101"/>
      <c r="AR101" s="101"/>
      <c r="AS101" s="101"/>
      <c r="AT101" s="101"/>
      <c r="AU101" s="101"/>
      <c r="AV101" s="101"/>
      <c r="AW101" s="101"/>
      <c r="AX101" s="101"/>
      <c r="AY101" s="101"/>
      <c r="AZ101" s="101"/>
      <c r="BA101" s="101"/>
    </row>
    <row r="102" spans="1:53" s="97" customFormat="1" ht="15.75">
      <c r="A102" s="89"/>
      <c r="B102" s="118"/>
      <c r="C102" s="119"/>
      <c r="D102" s="119"/>
      <c r="E102" s="119"/>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P102" s="101"/>
      <c r="AQ102" s="101"/>
      <c r="AR102" s="101"/>
      <c r="AS102" s="101"/>
      <c r="AT102" s="101"/>
      <c r="AU102" s="101"/>
      <c r="AV102" s="101"/>
      <c r="AW102" s="101"/>
      <c r="AX102" s="101"/>
      <c r="AY102" s="101"/>
      <c r="AZ102" s="101"/>
      <c r="BA102" s="101"/>
    </row>
    <row r="103" spans="1:53" s="97" customFormat="1" ht="15.75">
      <c r="A103" s="89"/>
      <c r="B103" s="118"/>
      <c r="C103" s="119"/>
      <c r="D103" s="119"/>
      <c r="E103" s="119"/>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P103" s="101"/>
      <c r="AQ103" s="101"/>
      <c r="AR103" s="101"/>
      <c r="AS103" s="101"/>
      <c r="AT103" s="101"/>
      <c r="AU103" s="101"/>
      <c r="AV103" s="101"/>
      <c r="AW103" s="101"/>
      <c r="AX103" s="101"/>
      <c r="AY103" s="101"/>
      <c r="AZ103" s="101"/>
      <c r="BA103" s="101"/>
    </row>
    <row r="104" spans="1:53" s="97" customFormat="1" ht="15.75">
      <c r="A104" s="89"/>
      <c r="B104" s="118"/>
      <c r="C104" s="119"/>
      <c r="D104" s="119"/>
      <c r="E104" s="119"/>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P104" s="101"/>
      <c r="AQ104" s="101"/>
      <c r="AR104" s="101"/>
      <c r="AS104" s="101"/>
      <c r="AT104" s="101"/>
      <c r="AU104" s="101"/>
      <c r="AV104" s="101"/>
      <c r="AW104" s="101"/>
      <c r="AX104" s="101"/>
      <c r="AY104" s="101"/>
      <c r="AZ104" s="101"/>
      <c r="BA104" s="101"/>
    </row>
    <row r="105" spans="1:53" s="97" customFormat="1" ht="15.75">
      <c r="A105" s="89"/>
      <c r="B105" s="118"/>
      <c r="C105" s="119"/>
      <c r="D105" s="119"/>
      <c r="E105" s="119"/>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P105" s="101"/>
      <c r="AQ105" s="101"/>
      <c r="AR105" s="101"/>
      <c r="AS105" s="101"/>
      <c r="AT105" s="101"/>
      <c r="AU105" s="101"/>
      <c r="AV105" s="101"/>
      <c r="AW105" s="101"/>
      <c r="AX105" s="101"/>
      <c r="AY105" s="101"/>
      <c r="AZ105" s="101"/>
      <c r="BA105" s="101"/>
    </row>
    <row r="106" spans="1:53" s="97" customFormat="1" ht="15.75">
      <c r="A106" s="89"/>
      <c r="B106" s="118"/>
      <c r="C106" s="119"/>
      <c r="D106" s="119"/>
      <c r="E106" s="119"/>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P106" s="101"/>
      <c r="AQ106" s="101"/>
      <c r="AR106" s="101"/>
      <c r="AS106" s="101"/>
      <c r="AT106" s="101"/>
      <c r="AU106" s="101"/>
      <c r="AV106" s="101"/>
      <c r="AW106" s="101"/>
      <c r="AX106" s="101"/>
      <c r="AY106" s="101"/>
      <c r="AZ106" s="101"/>
      <c r="BA106" s="101"/>
    </row>
    <row r="107" spans="1:53" s="97" customFormat="1" ht="15.75">
      <c r="A107" s="89"/>
      <c r="B107" s="118"/>
      <c r="C107" s="119"/>
      <c r="D107" s="119"/>
      <c r="E107" s="119"/>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P107" s="101"/>
      <c r="AQ107" s="101"/>
      <c r="AR107" s="101"/>
      <c r="AS107" s="101"/>
      <c r="AT107" s="101"/>
      <c r="AU107" s="101"/>
      <c r="AV107" s="101"/>
      <c r="AW107" s="101"/>
      <c r="AX107" s="101"/>
      <c r="AY107" s="101"/>
      <c r="AZ107" s="101"/>
      <c r="BA107" s="101"/>
    </row>
    <row r="108" spans="1:53" s="97" customFormat="1" ht="15.75">
      <c r="A108" s="89"/>
      <c r="B108" s="118"/>
      <c r="C108" s="119"/>
      <c r="D108" s="119"/>
      <c r="E108" s="119"/>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P108" s="101"/>
      <c r="AQ108" s="101"/>
      <c r="AR108" s="101"/>
      <c r="AS108" s="101"/>
      <c r="AT108" s="101"/>
      <c r="AU108" s="101"/>
      <c r="AV108" s="101"/>
      <c r="AW108" s="101"/>
      <c r="AX108" s="101"/>
      <c r="AY108" s="101"/>
      <c r="AZ108" s="101"/>
      <c r="BA108" s="101"/>
    </row>
    <row r="109" spans="1:53" s="97" customFormat="1" ht="15.75">
      <c r="A109" s="89"/>
      <c r="B109" s="118"/>
      <c r="C109" s="119"/>
      <c r="D109" s="119"/>
      <c r="E109" s="119"/>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P109" s="101"/>
      <c r="AQ109" s="101"/>
      <c r="AR109" s="101"/>
      <c r="AS109" s="101"/>
      <c r="AT109" s="101"/>
      <c r="AU109" s="101"/>
      <c r="AV109" s="101"/>
      <c r="AW109" s="101"/>
      <c r="AX109" s="101"/>
      <c r="AY109" s="101"/>
      <c r="AZ109" s="101"/>
      <c r="BA109" s="101"/>
    </row>
    <row r="110" spans="1:53" s="97" customFormat="1" ht="15.75">
      <c r="A110" s="89"/>
      <c r="B110" s="118"/>
      <c r="C110" s="119"/>
      <c r="D110" s="119"/>
      <c r="E110" s="119"/>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P110" s="101"/>
      <c r="AQ110" s="101"/>
      <c r="AR110" s="101"/>
      <c r="AS110" s="101"/>
      <c r="AT110" s="101"/>
      <c r="AU110" s="101"/>
      <c r="AV110" s="101"/>
      <c r="AW110" s="101"/>
      <c r="AX110" s="101"/>
      <c r="AY110" s="101"/>
      <c r="AZ110" s="101"/>
      <c r="BA110" s="101"/>
    </row>
    <row r="111" spans="1:53" s="97" customFormat="1" ht="15.75">
      <c r="A111" s="89"/>
      <c r="B111" s="118"/>
      <c r="C111" s="119"/>
      <c r="D111" s="119"/>
      <c r="E111" s="119"/>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P111" s="101"/>
      <c r="AQ111" s="101"/>
      <c r="AR111" s="101"/>
      <c r="AS111" s="101"/>
      <c r="AT111" s="101"/>
      <c r="AU111" s="101"/>
      <c r="AV111" s="101"/>
      <c r="AW111" s="101"/>
      <c r="AX111" s="101"/>
      <c r="AY111" s="101"/>
      <c r="AZ111" s="101"/>
      <c r="BA111" s="101"/>
    </row>
    <row r="112" spans="1:53" s="97" customFormat="1" ht="15.75">
      <c r="A112" s="89"/>
      <c r="B112" s="118"/>
      <c r="C112" s="119"/>
      <c r="D112" s="119"/>
      <c r="E112" s="119"/>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P112" s="101"/>
      <c r="AQ112" s="101"/>
      <c r="AR112" s="101"/>
      <c r="AS112" s="101"/>
      <c r="AT112" s="101"/>
      <c r="AU112" s="101"/>
      <c r="AV112" s="101"/>
      <c r="AW112" s="101"/>
      <c r="AX112" s="101"/>
      <c r="AY112" s="101"/>
      <c r="AZ112" s="101"/>
      <c r="BA112" s="101"/>
    </row>
    <row r="113" spans="1:53" s="97" customFormat="1" ht="15.75">
      <c r="A113" s="89"/>
      <c r="B113" s="118"/>
      <c r="C113" s="119"/>
      <c r="D113" s="119"/>
      <c r="E113" s="119"/>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P113" s="101"/>
      <c r="AQ113" s="101"/>
      <c r="AR113" s="101"/>
      <c r="AS113" s="101"/>
      <c r="AT113" s="101"/>
      <c r="AU113" s="101"/>
      <c r="AV113" s="101"/>
      <c r="AW113" s="101"/>
      <c r="AX113" s="101"/>
      <c r="AY113" s="101"/>
      <c r="AZ113" s="101"/>
      <c r="BA113" s="101"/>
    </row>
    <row r="114" spans="1:53" s="97" customFormat="1" ht="15.75">
      <c r="A114" s="89"/>
      <c r="B114" s="118"/>
      <c r="C114" s="119"/>
      <c r="D114" s="119"/>
      <c r="E114" s="119"/>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P114" s="101"/>
      <c r="AQ114" s="101"/>
      <c r="AR114" s="101"/>
      <c r="AS114" s="101"/>
      <c r="AT114" s="101"/>
      <c r="AU114" s="101"/>
      <c r="AV114" s="101"/>
      <c r="AW114" s="101"/>
      <c r="AX114" s="101"/>
      <c r="AY114" s="101"/>
      <c r="AZ114" s="101"/>
      <c r="BA114" s="101"/>
    </row>
    <row r="115" spans="1:53" s="97" customFormat="1" ht="15.75">
      <c r="A115" s="89"/>
      <c r="B115" s="118"/>
      <c r="C115" s="119"/>
      <c r="D115" s="119"/>
      <c r="E115" s="119"/>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P115" s="101"/>
      <c r="AQ115" s="101"/>
      <c r="AR115" s="101"/>
      <c r="AS115" s="101"/>
      <c r="AT115" s="101"/>
      <c r="AU115" s="101"/>
      <c r="AV115" s="101"/>
      <c r="AW115" s="101"/>
      <c r="AX115" s="101"/>
      <c r="AY115" s="101"/>
      <c r="AZ115" s="101"/>
      <c r="BA115" s="101"/>
    </row>
    <row r="116" spans="1:53" s="97" customFormat="1" ht="15.75">
      <c r="A116" s="89"/>
      <c r="B116" s="118"/>
      <c r="C116" s="119"/>
      <c r="D116" s="119"/>
      <c r="E116" s="119"/>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P116" s="101"/>
      <c r="AQ116" s="101"/>
      <c r="AR116" s="101"/>
      <c r="AS116" s="101"/>
      <c r="AT116" s="101"/>
      <c r="AU116" s="101"/>
      <c r="AV116" s="101"/>
      <c r="AW116" s="101"/>
      <c r="AX116" s="101"/>
      <c r="AY116" s="101"/>
      <c r="AZ116" s="101"/>
      <c r="BA116" s="101"/>
    </row>
    <row r="117" spans="1:53" s="97" customFormat="1" ht="15.75">
      <c r="A117" s="89"/>
      <c r="B117" s="118"/>
      <c r="C117" s="119"/>
      <c r="D117" s="119"/>
      <c r="E117" s="119"/>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P117" s="101"/>
      <c r="AQ117" s="101"/>
      <c r="AR117" s="101"/>
      <c r="AS117" s="101"/>
      <c r="AT117" s="101"/>
      <c r="AU117" s="101"/>
      <c r="AV117" s="101"/>
      <c r="AW117" s="101"/>
      <c r="AX117" s="101"/>
      <c r="AY117" s="101"/>
      <c r="AZ117" s="101"/>
      <c r="BA117" s="101"/>
    </row>
    <row r="118" spans="1:53" s="97" customFormat="1" ht="15.75">
      <c r="A118" s="89"/>
      <c r="B118" s="118"/>
      <c r="C118" s="119"/>
      <c r="D118" s="119"/>
      <c r="E118" s="119"/>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P118" s="101"/>
      <c r="AQ118" s="101"/>
      <c r="AR118" s="101"/>
      <c r="AS118" s="101"/>
      <c r="AT118" s="101"/>
      <c r="AU118" s="101"/>
      <c r="AV118" s="101"/>
      <c r="AW118" s="101"/>
      <c r="AX118" s="101"/>
      <c r="AY118" s="101"/>
      <c r="AZ118" s="101"/>
      <c r="BA118" s="101"/>
    </row>
    <row r="119" spans="1:53" s="97" customFormat="1" ht="15.75">
      <c r="A119" s="89"/>
      <c r="B119" s="118"/>
      <c r="C119" s="119"/>
      <c r="D119" s="119"/>
      <c r="E119" s="119"/>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P119" s="101"/>
      <c r="AQ119" s="101"/>
      <c r="AR119" s="101"/>
      <c r="AS119" s="101"/>
      <c r="AT119" s="101"/>
      <c r="AU119" s="101"/>
      <c r="AV119" s="101"/>
      <c r="AW119" s="101"/>
      <c r="AX119" s="101"/>
      <c r="AY119" s="101"/>
      <c r="AZ119" s="101"/>
      <c r="BA119" s="101"/>
    </row>
    <row r="120" spans="1:53" s="97" customFormat="1" ht="15.75">
      <c r="A120" s="89"/>
      <c r="B120" s="118"/>
      <c r="C120" s="119"/>
      <c r="D120" s="119"/>
      <c r="E120" s="119"/>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P120" s="101"/>
      <c r="AQ120" s="101"/>
      <c r="AR120" s="101"/>
      <c r="AS120" s="101"/>
      <c r="AT120" s="101"/>
      <c r="AU120" s="101"/>
      <c r="AV120" s="101"/>
      <c r="AW120" s="101"/>
      <c r="AX120" s="101"/>
      <c r="AY120" s="101"/>
      <c r="AZ120" s="101"/>
      <c r="BA120" s="101"/>
    </row>
    <row r="121" spans="1:53" s="97" customFormat="1" ht="15.75">
      <c r="A121" s="89"/>
      <c r="B121" s="118"/>
      <c r="C121" s="119"/>
      <c r="D121" s="119"/>
      <c r="E121" s="119"/>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P121" s="101"/>
      <c r="AQ121" s="101"/>
      <c r="AR121" s="101"/>
      <c r="AS121" s="101"/>
      <c r="AT121" s="101"/>
      <c r="AU121" s="101"/>
      <c r="AV121" s="101"/>
      <c r="AW121" s="101"/>
      <c r="AX121" s="101"/>
      <c r="AY121" s="101"/>
      <c r="AZ121" s="101"/>
      <c r="BA121" s="101"/>
    </row>
    <row r="122" spans="1:53" s="97" customFormat="1" ht="15.75">
      <c r="A122" s="89"/>
      <c r="B122" s="118"/>
      <c r="C122" s="119"/>
      <c r="D122" s="119"/>
      <c r="E122" s="119"/>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P122" s="101"/>
      <c r="AQ122" s="101"/>
      <c r="AR122" s="101"/>
      <c r="AS122" s="101"/>
      <c r="AT122" s="101"/>
      <c r="AU122" s="101"/>
      <c r="AV122" s="101"/>
      <c r="AW122" s="101"/>
      <c r="AX122" s="101"/>
      <c r="AY122" s="101"/>
      <c r="AZ122" s="101"/>
      <c r="BA122" s="101"/>
    </row>
    <row r="123" spans="1:53" s="97" customFormat="1" ht="15.75">
      <c r="A123" s="89"/>
      <c r="B123" s="118"/>
      <c r="C123" s="119"/>
      <c r="D123" s="119"/>
      <c r="E123" s="119"/>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P123" s="101"/>
      <c r="AQ123" s="101"/>
      <c r="AR123" s="101"/>
      <c r="AS123" s="101"/>
      <c r="AT123" s="101"/>
      <c r="AU123" s="101"/>
      <c r="AV123" s="101"/>
      <c r="AW123" s="101"/>
      <c r="AX123" s="101"/>
      <c r="AY123" s="101"/>
      <c r="AZ123" s="101"/>
      <c r="BA123" s="101"/>
    </row>
    <row r="124" spans="1:53" s="97" customFormat="1" ht="15.75">
      <c r="A124" s="89"/>
      <c r="B124" s="118"/>
      <c r="C124" s="119"/>
      <c r="D124" s="119"/>
      <c r="E124" s="119"/>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P124" s="101"/>
      <c r="AQ124" s="101"/>
      <c r="AR124" s="101"/>
      <c r="AS124" s="101"/>
      <c r="AT124" s="101"/>
      <c r="AU124" s="101"/>
      <c r="AV124" s="101"/>
      <c r="AW124" s="101"/>
      <c r="AX124" s="101"/>
      <c r="AY124" s="101"/>
      <c r="AZ124" s="101"/>
      <c r="BA124" s="101"/>
    </row>
    <row r="125" spans="1:53" s="97" customFormat="1" ht="15.75">
      <c r="A125" s="89"/>
      <c r="B125" s="118"/>
      <c r="C125" s="119"/>
      <c r="D125" s="119"/>
      <c r="E125" s="119"/>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P125" s="101"/>
      <c r="AQ125" s="101"/>
      <c r="AR125" s="101"/>
      <c r="AS125" s="101"/>
      <c r="AT125" s="101"/>
      <c r="AU125" s="101"/>
      <c r="AV125" s="101"/>
      <c r="AW125" s="101"/>
      <c r="AX125" s="101"/>
      <c r="AY125" s="101"/>
      <c r="AZ125" s="101"/>
      <c r="BA125" s="101"/>
    </row>
    <row r="126" spans="1:53" s="97" customFormat="1" ht="15.75">
      <c r="A126" s="89"/>
      <c r="B126" s="118"/>
      <c r="C126" s="119"/>
      <c r="D126" s="119"/>
      <c r="E126" s="119"/>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P126" s="101"/>
      <c r="AQ126" s="101"/>
      <c r="AR126" s="101"/>
      <c r="AS126" s="101"/>
      <c r="AT126" s="101"/>
      <c r="AU126" s="101"/>
      <c r="AV126" s="101"/>
      <c r="AW126" s="101"/>
      <c r="AX126" s="101"/>
      <c r="AY126" s="101"/>
      <c r="AZ126" s="101"/>
      <c r="BA126" s="101"/>
    </row>
    <row r="127" spans="1:53" s="97" customFormat="1" ht="15.75">
      <c r="A127" s="89"/>
      <c r="B127" s="118"/>
      <c r="C127" s="119"/>
      <c r="D127" s="119"/>
      <c r="E127" s="119"/>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P127" s="101"/>
      <c r="AQ127" s="101"/>
      <c r="AR127" s="101"/>
      <c r="AS127" s="101"/>
      <c r="AT127" s="101"/>
      <c r="AU127" s="101"/>
      <c r="AV127" s="101"/>
      <c r="AW127" s="101"/>
      <c r="AX127" s="101"/>
      <c r="AY127" s="101"/>
      <c r="AZ127" s="101"/>
      <c r="BA127" s="101"/>
    </row>
    <row r="128" spans="1:53" s="97" customFormat="1" ht="15.75">
      <c r="A128" s="89"/>
      <c r="B128" s="118"/>
      <c r="C128" s="119"/>
      <c r="D128" s="119"/>
      <c r="E128" s="119"/>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P128" s="101"/>
      <c r="AQ128" s="101"/>
      <c r="AR128" s="101"/>
      <c r="AS128" s="101"/>
      <c r="AT128" s="101"/>
      <c r="AU128" s="101"/>
      <c r="AV128" s="101"/>
      <c r="AW128" s="101"/>
      <c r="AX128" s="101"/>
      <c r="AY128" s="101"/>
      <c r="AZ128" s="101"/>
      <c r="BA128" s="101"/>
    </row>
    <row r="129" spans="1:53" s="97" customFormat="1" ht="15.75">
      <c r="A129" s="89"/>
      <c r="B129" s="118"/>
      <c r="C129" s="119"/>
      <c r="D129" s="119"/>
      <c r="E129" s="119"/>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P129" s="101"/>
      <c r="AQ129" s="101"/>
      <c r="AR129" s="101"/>
      <c r="AS129" s="101"/>
      <c r="AT129" s="101"/>
      <c r="AU129" s="101"/>
      <c r="AV129" s="101"/>
      <c r="AW129" s="101"/>
      <c r="AX129" s="101"/>
      <c r="AY129" s="101"/>
      <c r="AZ129" s="101"/>
      <c r="BA129" s="101"/>
    </row>
    <row r="130" spans="1:53" s="97" customFormat="1" ht="15.75">
      <c r="A130" s="89"/>
      <c r="B130" s="118"/>
      <c r="C130" s="119"/>
      <c r="D130" s="119"/>
      <c r="E130" s="119"/>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P130" s="101"/>
      <c r="AQ130" s="101"/>
      <c r="AR130" s="101"/>
      <c r="AS130" s="101"/>
      <c r="AT130" s="101"/>
      <c r="AU130" s="101"/>
      <c r="AV130" s="101"/>
      <c r="AW130" s="101"/>
      <c r="AX130" s="101"/>
      <c r="AY130" s="101"/>
      <c r="AZ130" s="101"/>
      <c r="BA130" s="101"/>
    </row>
    <row r="131" spans="1:53" s="97" customFormat="1" ht="15.75">
      <c r="A131" s="89"/>
      <c r="B131" s="118"/>
      <c r="C131" s="119"/>
      <c r="D131" s="119"/>
      <c r="E131" s="119"/>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P131" s="101"/>
      <c r="AQ131" s="101"/>
      <c r="AR131" s="101"/>
      <c r="AS131" s="101"/>
      <c r="AT131" s="101"/>
      <c r="AU131" s="101"/>
      <c r="AV131" s="101"/>
      <c r="AW131" s="101"/>
      <c r="AX131" s="101"/>
      <c r="AY131" s="101"/>
      <c r="AZ131" s="101"/>
      <c r="BA131" s="101"/>
    </row>
    <row r="132" spans="1:53" s="97" customFormat="1" ht="15.75">
      <c r="A132" s="89"/>
      <c r="B132" s="118"/>
      <c r="C132" s="119"/>
      <c r="D132" s="119"/>
      <c r="E132" s="119"/>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P132" s="101"/>
      <c r="AQ132" s="101"/>
      <c r="AR132" s="101"/>
      <c r="AS132" s="101"/>
      <c r="AT132" s="101"/>
      <c r="AU132" s="101"/>
      <c r="AV132" s="101"/>
      <c r="AW132" s="101"/>
      <c r="AX132" s="101"/>
      <c r="AY132" s="101"/>
      <c r="AZ132" s="101"/>
      <c r="BA132" s="101"/>
    </row>
    <row r="133" spans="1:53" s="97" customFormat="1" ht="15.75">
      <c r="A133" s="89"/>
      <c r="B133" s="118"/>
      <c r="C133" s="119"/>
      <c r="D133" s="119"/>
      <c r="E133" s="119"/>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P133" s="101"/>
      <c r="AQ133" s="101"/>
      <c r="AR133" s="101"/>
      <c r="AS133" s="101"/>
      <c r="AT133" s="101"/>
      <c r="AU133" s="101"/>
      <c r="AV133" s="101"/>
      <c r="AW133" s="101"/>
      <c r="AX133" s="101"/>
      <c r="AY133" s="101"/>
      <c r="AZ133" s="101"/>
      <c r="BA133" s="101"/>
    </row>
    <row r="134" spans="1:53" s="97" customFormat="1" ht="15.75">
      <c r="A134" s="89"/>
      <c r="B134" s="118"/>
      <c r="C134" s="119"/>
      <c r="D134" s="119"/>
      <c r="E134" s="119"/>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P134" s="101"/>
      <c r="AQ134" s="101"/>
      <c r="AR134" s="101"/>
      <c r="AS134" s="101"/>
      <c r="AT134" s="101"/>
      <c r="AU134" s="101"/>
      <c r="AV134" s="101"/>
      <c r="AW134" s="101"/>
      <c r="AX134" s="101"/>
      <c r="AY134" s="101"/>
      <c r="AZ134" s="101"/>
      <c r="BA134" s="101"/>
    </row>
    <row r="135" spans="1:53" s="97" customFormat="1" ht="15.75">
      <c r="A135" s="89"/>
      <c r="B135" s="118"/>
      <c r="C135" s="119"/>
      <c r="D135" s="119"/>
      <c r="E135" s="119"/>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P135" s="101"/>
      <c r="AQ135" s="101"/>
      <c r="AR135" s="101"/>
      <c r="AS135" s="101"/>
      <c r="AT135" s="101"/>
      <c r="AU135" s="101"/>
      <c r="AV135" s="101"/>
      <c r="AW135" s="101"/>
      <c r="AX135" s="101"/>
      <c r="AY135" s="101"/>
      <c r="AZ135" s="101"/>
      <c r="BA135" s="101"/>
    </row>
    <row r="136" spans="1:53" s="97" customFormat="1" ht="15.75">
      <c r="A136" s="89"/>
      <c r="B136" s="118"/>
      <c r="C136" s="119"/>
      <c r="D136" s="119"/>
      <c r="E136" s="119"/>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P136" s="101"/>
      <c r="AQ136" s="101"/>
      <c r="AR136" s="101"/>
      <c r="AS136" s="101"/>
      <c r="AT136" s="101"/>
      <c r="AU136" s="101"/>
      <c r="AV136" s="101"/>
      <c r="AW136" s="101"/>
      <c r="AX136" s="101"/>
      <c r="AY136" s="101"/>
      <c r="AZ136" s="101"/>
      <c r="BA136" s="101"/>
    </row>
    <row r="137" spans="1:53" s="97" customFormat="1" ht="15.75">
      <c r="A137" s="89"/>
      <c r="B137" s="118"/>
      <c r="C137" s="119"/>
      <c r="D137" s="119"/>
      <c r="E137" s="119"/>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P137" s="101"/>
      <c r="AQ137" s="101"/>
      <c r="AR137" s="101"/>
      <c r="AS137" s="101"/>
      <c r="AT137" s="101"/>
      <c r="AU137" s="101"/>
      <c r="AV137" s="101"/>
      <c r="AW137" s="101"/>
      <c r="AX137" s="101"/>
      <c r="AY137" s="101"/>
      <c r="AZ137" s="101"/>
      <c r="BA137" s="101"/>
    </row>
    <row r="138" spans="1:53" s="97" customFormat="1" ht="15.75">
      <c r="A138" s="89"/>
      <c r="B138" s="118"/>
      <c r="C138" s="119"/>
      <c r="D138" s="119"/>
      <c r="E138" s="119"/>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P138" s="101"/>
      <c r="AQ138" s="101"/>
      <c r="AR138" s="101"/>
      <c r="AS138" s="101"/>
      <c r="AT138" s="101"/>
      <c r="AU138" s="101"/>
      <c r="AV138" s="101"/>
      <c r="AW138" s="101"/>
      <c r="AX138" s="101"/>
      <c r="AY138" s="101"/>
      <c r="AZ138" s="101"/>
      <c r="BA138" s="101"/>
    </row>
    <row r="139" spans="1:53" s="97" customFormat="1" ht="15.75">
      <c r="A139" s="89"/>
      <c r="B139" s="118"/>
      <c r="C139" s="119"/>
      <c r="D139" s="119"/>
      <c r="E139" s="119"/>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P139" s="101"/>
      <c r="AQ139" s="101"/>
      <c r="AR139" s="101"/>
      <c r="AS139" s="101"/>
      <c r="AT139" s="101"/>
      <c r="AU139" s="101"/>
      <c r="AV139" s="101"/>
      <c r="AW139" s="101"/>
      <c r="AX139" s="101"/>
      <c r="AY139" s="101"/>
      <c r="AZ139" s="101"/>
      <c r="BA139" s="101"/>
    </row>
    <row r="140" spans="1:53" s="97" customFormat="1" ht="15.75">
      <c r="A140" s="89"/>
      <c r="B140" s="118"/>
      <c r="C140" s="119"/>
      <c r="D140" s="119"/>
      <c r="E140" s="119"/>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P140" s="101"/>
      <c r="AQ140" s="101"/>
      <c r="AR140" s="101"/>
      <c r="AS140" s="101"/>
      <c r="AT140" s="101"/>
      <c r="AU140" s="101"/>
      <c r="AV140" s="101"/>
      <c r="AW140" s="101"/>
      <c r="AX140" s="101"/>
      <c r="AY140" s="101"/>
      <c r="AZ140" s="101"/>
      <c r="BA140" s="101"/>
    </row>
    <row r="141" spans="1:53" s="97" customFormat="1" ht="15.75">
      <c r="A141" s="89"/>
      <c r="B141" s="118"/>
      <c r="C141" s="119"/>
      <c r="D141" s="119"/>
      <c r="E141" s="119"/>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P141" s="101"/>
      <c r="AQ141" s="101"/>
      <c r="AR141" s="101"/>
      <c r="AS141" s="101"/>
      <c r="AT141" s="101"/>
      <c r="AU141" s="101"/>
      <c r="AV141" s="101"/>
      <c r="AW141" s="101"/>
      <c r="AX141" s="101"/>
      <c r="AY141" s="101"/>
      <c r="AZ141" s="101"/>
      <c r="BA141" s="101"/>
    </row>
    <row r="142" spans="1:53" s="97" customFormat="1" ht="15.75">
      <c r="A142" s="89"/>
      <c r="B142" s="118"/>
      <c r="C142" s="119"/>
      <c r="D142" s="119"/>
      <c r="E142" s="119"/>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P142" s="101"/>
      <c r="AQ142" s="101"/>
      <c r="AR142" s="101"/>
      <c r="AS142" s="101"/>
      <c r="AT142" s="101"/>
      <c r="AU142" s="101"/>
      <c r="AV142" s="101"/>
      <c r="AW142" s="101"/>
      <c r="AX142" s="101"/>
      <c r="AY142" s="101"/>
      <c r="AZ142" s="101"/>
      <c r="BA142" s="101"/>
    </row>
    <row r="143" spans="1:53" s="97" customFormat="1" ht="15.75">
      <c r="A143" s="89"/>
      <c r="B143" s="118"/>
      <c r="C143" s="119"/>
      <c r="D143" s="119"/>
      <c r="E143" s="119"/>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P143" s="101"/>
      <c r="AQ143" s="101"/>
      <c r="AR143" s="101"/>
      <c r="AS143" s="101"/>
      <c r="AT143" s="101"/>
      <c r="AU143" s="101"/>
      <c r="AV143" s="101"/>
      <c r="AW143" s="101"/>
      <c r="AX143" s="101"/>
      <c r="AY143" s="101"/>
      <c r="AZ143" s="101"/>
      <c r="BA143" s="101"/>
    </row>
    <row r="144" spans="1:53" s="97" customFormat="1" ht="15.75">
      <c r="A144" s="89"/>
      <c r="B144" s="118"/>
      <c r="C144" s="119"/>
      <c r="D144" s="119"/>
      <c r="E144" s="119"/>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P144" s="101"/>
      <c r="AQ144" s="101"/>
      <c r="AR144" s="101"/>
      <c r="AS144" s="101"/>
      <c r="AT144" s="101"/>
      <c r="AU144" s="101"/>
      <c r="AV144" s="101"/>
      <c r="AW144" s="101"/>
      <c r="AX144" s="101"/>
      <c r="AY144" s="101"/>
      <c r="AZ144" s="101"/>
      <c r="BA144" s="101"/>
    </row>
    <row r="145" spans="1:53" s="97" customFormat="1" ht="15.75">
      <c r="A145" s="89"/>
      <c r="B145" s="118"/>
      <c r="C145" s="119"/>
      <c r="D145" s="119"/>
      <c r="E145" s="119"/>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P145" s="101"/>
      <c r="AQ145" s="101"/>
      <c r="AR145" s="101"/>
      <c r="AS145" s="101"/>
      <c r="AT145" s="101"/>
      <c r="AU145" s="101"/>
      <c r="AV145" s="101"/>
      <c r="AW145" s="101"/>
      <c r="AX145" s="101"/>
      <c r="AY145" s="101"/>
      <c r="AZ145" s="101"/>
      <c r="BA145" s="101"/>
    </row>
    <row r="146" spans="1:53" s="97" customFormat="1" ht="15.75">
      <c r="A146" s="89"/>
      <c r="B146" s="118"/>
      <c r="C146" s="119"/>
      <c r="D146" s="119"/>
      <c r="E146" s="119"/>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P146" s="101"/>
      <c r="AQ146" s="101"/>
      <c r="AR146" s="101"/>
      <c r="AS146" s="101"/>
      <c r="AT146" s="101"/>
      <c r="AU146" s="101"/>
      <c r="AV146" s="101"/>
      <c r="AW146" s="101"/>
      <c r="AX146" s="101"/>
      <c r="AY146" s="101"/>
      <c r="AZ146" s="101"/>
      <c r="BA146" s="101"/>
    </row>
    <row r="147" spans="1:53" s="97" customFormat="1" ht="15.75">
      <c r="A147" s="89"/>
      <c r="B147" s="118"/>
      <c r="C147" s="119"/>
      <c r="D147" s="119"/>
      <c r="E147" s="119"/>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P147" s="101"/>
      <c r="AQ147" s="101"/>
      <c r="AR147" s="101"/>
      <c r="AS147" s="101"/>
      <c r="AT147" s="101"/>
      <c r="AU147" s="101"/>
      <c r="AV147" s="101"/>
      <c r="AW147" s="101"/>
      <c r="AX147" s="101"/>
      <c r="AY147" s="101"/>
      <c r="AZ147" s="101"/>
      <c r="BA147" s="101"/>
    </row>
    <row r="148" spans="1:53" s="97" customFormat="1" ht="15.75">
      <c r="A148" s="89"/>
      <c r="B148" s="118"/>
      <c r="C148" s="119"/>
      <c r="D148" s="119"/>
      <c r="E148" s="119"/>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P148" s="101"/>
      <c r="AQ148" s="101"/>
      <c r="AR148" s="101"/>
      <c r="AS148" s="101"/>
      <c r="AT148" s="101"/>
      <c r="AU148" s="101"/>
      <c r="AV148" s="101"/>
      <c r="AW148" s="101"/>
      <c r="AX148" s="101"/>
      <c r="AY148" s="101"/>
      <c r="AZ148" s="101"/>
      <c r="BA148" s="101"/>
    </row>
    <row r="149" spans="1:53" s="97" customFormat="1" ht="15.75">
      <c r="A149" s="89"/>
      <c r="B149" s="118"/>
      <c r="C149" s="119"/>
      <c r="D149" s="119"/>
      <c r="E149" s="119"/>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P149" s="101"/>
      <c r="AQ149" s="101"/>
      <c r="AR149" s="101"/>
      <c r="AS149" s="101"/>
      <c r="AT149" s="101"/>
      <c r="AU149" s="101"/>
      <c r="AV149" s="101"/>
      <c r="AW149" s="101"/>
      <c r="AX149" s="101"/>
      <c r="AY149" s="101"/>
      <c r="AZ149" s="101"/>
      <c r="BA149" s="101"/>
    </row>
    <row r="150" spans="1:53" s="97" customFormat="1" ht="15.75">
      <c r="A150" s="89"/>
      <c r="B150" s="118"/>
      <c r="C150" s="119"/>
      <c r="D150" s="119"/>
      <c r="E150" s="119"/>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P150" s="101"/>
      <c r="AQ150" s="101"/>
      <c r="AR150" s="101"/>
      <c r="AS150" s="101"/>
      <c r="AT150" s="101"/>
      <c r="AU150" s="101"/>
      <c r="AV150" s="101"/>
      <c r="AW150" s="101"/>
      <c r="AX150" s="101"/>
      <c r="AY150" s="101"/>
      <c r="AZ150" s="101"/>
      <c r="BA150" s="101"/>
    </row>
    <row r="151" spans="1:53" s="97" customFormat="1" ht="15.75">
      <c r="A151" s="89"/>
      <c r="B151" s="118"/>
      <c r="C151" s="119"/>
      <c r="D151" s="119"/>
      <c r="E151" s="119"/>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P151" s="101"/>
      <c r="AQ151" s="101"/>
      <c r="AR151" s="101"/>
      <c r="AS151" s="101"/>
      <c r="AT151" s="101"/>
      <c r="AU151" s="101"/>
      <c r="AV151" s="101"/>
      <c r="AW151" s="101"/>
      <c r="AX151" s="101"/>
      <c r="AY151" s="101"/>
      <c r="AZ151" s="101"/>
      <c r="BA151" s="101"/>
    </row>
    <row r="152" spans="1:53" s="97" customFormat="1" ht="15.75">
      <c r="A152" s="89"/>
      <c r="B152" s="118"/>
      <c r="C152" s="119"/>
      <c r="D152" s="119"/>
      <c r="E152" s="119"/>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P152" s="101"/>
      <c r="AQ152" s="101"/>
      <c r="AR152" s="101"/>
      <c r="AS152" s="101"/>
      <c r="AT152" s="101"/>
      <c r="AU152" s="101"/>
      <c r="AV152" s="101"/>
      <c r="AW152" s="101"/>
      <c r="AX152" s="101"/>
      <c r="AY152" s="101"/>
      <c r="AZ152" s="101"/>
      <c r="BA152" s="101"/>
    </row>
    <row r="153" spans="1:53" s="97" customFormat="1" ht="15.75">
      <c r="A153" s="89"/>
      <c r="B153" s="118"/>
      <c r="C153" s="119"/>
      <c r="D153" s="119"/>
      <c r="E153" s="119"/>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P153" s="101"/>
      <c r="AQ153" s="101"/>
      <c r="AR153" s="101"/>
      <c r="AS153" s="101"/>
      <c r="AT153" s="101"/>
      <c r="AU153" s="101"/>
      <c r="AV153" s="101"/>
      <c r="AW153" s="101"/>
      <c r="AX153" s="101"/>
      <c r="AY153" s="101"/>
      <c r="AZ153" s="101"/>
      <c r="BA153" s="101"/>
    </row>
    <row r="154" spans="1:53" s="97" customFormat="1" ht="15.75">
      <c r="A154" s="89"/>
      <c r="B154" s="118"/>
      <c r="C154" s="119"/>
      <c r="D154" s="119"/>
      <c r="E154" s="119"/>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P154" s="101"/>
      <c r="AQ154" s="101"/>
      <c r="AR154" s="101"/>
      <c r="AS154" s="101"/>
      <c r="AT154" s="101"/>
      <c r="AU154" s="101"/>
      <c r="AV154" s="101"/>
      <c r="AW154" s="101"/>
      <c r="AX154" s="101"/>
      <c r="AY154" s="101"/>
      <c r="AZ154" s="101"/>
      <c r="BA154" s="101"/>
    </row>
    <row r="155" spans="1:53" s="97" customFormat="1" ht="15.75">
      <c r="A155" s="89"/>
      <c r="B155" s="118"/>
      <c r="C155" s="119"/>
      <c r="D155" s="119"/>
      <c r="E155" s="119"/>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P155" s="101"/>
      <c r="AQ155" s="101"/>
      <c r="AR155" s="101"/>
      <c r="AS155" s="101"/>
      <c r="AT155" s="101"/>
      <c r="AU155" s="101"/>
      <c r="AV155" s="101"/>
      <c r="AW155" s="101"/>
      <c r="AX155" s="101"/>
      <c r="AY155" s="101"/>
      <c r="AZ155" s="101"/>
      <c r="BA155" s="101"/>
    </row>
    <row r="156" spans="1:53" s="97" customFormat="1" ht="15.75">
      <c r="A156" s="89"/>
      <c r="B156" s="118"/>
      <c r="C156" s="119"/>
      <c r="D156" s="119"/>
      <c r="E156" s="119"/>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P156" s="101"/>
      <c r="AQ156" s="101"/>
      <c r="AR156" s="101"/>
      <c r="AS156" s="101"/>
      <c r="AT156" s="101"/>
      <c r="AU156" s="101"/>
      <c r="AV156" s="101"/>
      <c r="AW156" s="101"/>
      <c r="AX156" s="101"/>
      <c r="AY156" s="101"/>
      <c r="AZ156" s="101"/>
      <c r="BA156" s="101"/>
    </row>
    <row r="157" spans="1:53" s="97" customFormat="1" ht="15.75">
      <c r="A157" s="89"/>
      <c r="B157" s="118"/>
      <c r="C157" s="119"/>
      <c r="D157" s="119"/>
      <c r="E157" s="119"/>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P157" s="101"/>
      <c r="AQ157" s="101"/>
      <c r="AR157" s="101"/>
      <c r="AS157" s="101"/>
      <c r="AT157" s="101"/>
      <c r="AU157" s="101"/>
      <c r="AV157" s="101"/>
      <c r="AW157" s="101"/>
      <c r="AX157" s="101"/>
      <c r="AY157" s="101"/>
      <c r="AZ157" s="101"/>
      <c r="BA157" s="101"/>
    </row>
    <row r="158" spans="1:53" s="97" customFormat="1" ht="15.75">
      <c r="A158" s="89"/>
      <c r="B158" s="118"/>
      <c r="C158" s="119"/>
      <c r="D158" s="119"/>
      <c r="E158" s="119"/>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P158" s="101"/>
      <c r="AQ158" s="101"/>
      <c r="AR158" s="101"/>
      <c r="AS158" s="101"/>
      <c r="AT158" s="101"/>
      <c r="AU158" s="101"/>
      <c r="AV158" s="101"/>
      <c r="AW158" s="101"/>
      <c r="AX158" s="101"/>
      <c r="AY158" s="101"/>
      <c r="AZ158" s="101"/>
      <c r="BA158" s="101"/>
    </row>
    <row r="159" spans="1:53" s="97" customFormat="1" ht="15.75">
      <c r="A159" s="89"/>
      <c r="B159" s="118"/>
      <c r="C159" s="119"/>
      <c r="D159" s="119"/>
      <c r="E159" s="119"/>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P159" s="101"/>
      <c r="AQ159" s="101"/>
      <c r="AR159" s="101"/>
      <c r="AS159" s="101"/>
      <c r="AT159" s="101"/>
      <c r="AU159" s="101"/>
      <c r="AV159" s="101"/>
      <c r="AW159" s="101"/>
      <c r="AX159" s="101"/>
      <c r="AY159" s="101"/>
      <c r="AZ159" s="101"/>
      <c r="BA159" s="101"/>
    </row>
    <row r="160" spans="1:53" s="97" customFormat="1" ht="15.75">
      <c r="A160" s="89"/>
      <c r="B160" s="118"/>
      <c r="C160" s="119"/>
      <c r="D160" s="119"/>
      <c r="E160" s="119"/>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P160" s="101"/>
      <c r="AQ160" s="101"/>
      <c r="AR160" s="101"/>
      <c r="AS160" s="101"/>
      <c r="AT160" s="101"/>
      <c r="AU160" s="101"/>
      <c r="AV160" s="101"/>
      <c r="AW160" s="101"/>
      <c r="AX160" s="101"/>
      <c r="AY160" s="101"/>
      <c r="AZ160" s="101"/>
      <c r="BA160" s="101"/>
    </row>
    <row r="161" spans="1:53" s="97" customFormat="1" ht="15.75">
      <c r="A161" s="89"/>
      <c r="B161" s="118"/>
      <c r="C161" s="119"/>
      <c r="D161" s="119"/>
      <c r="E161" s="119"/>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P161" s="101"/>
      <c r="AQ161" s="101"/>
      <c r="AR161" s="101"/>
      <c r="AS161" s="101"/>
      <c r="AT161" s="101"/>
      <c r="AU161" s="101"/>
      <c r="AV161" s="101"/>
      <c r="AW161" s="101"/>
      <c r="AX161" s="101"/>
      <c r="AY161" s="101"/>
      <c r="AZ161" s="101"/>
      <c r="BA161" s="101"/>
    </row>
    <row r="162" spans="1:53" s="97" customFormat="1" ht="15.75">
      <c r="A162" s="89"/>
      <c r="B162" s="118"/>
      <c r="C162" s="119"/>
      <c r="D162" s="119"/>
      <c r="E162" s="119"/>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P162" s="101"/>
      <c r="AQ162" s="101"/>
      <c r="AR162" s="101"/>
      <c r="AS162" s="101"/>
      <c r="AT162" s="101"/>
      <c r="AU162" s="101"/>
      <c r="AV162" s="101"/>
      <c r="AW162" s="101"/>
      <c r="AX162" s="101"/>
      <c r="AY162" s="101"/>
      <c r="AZ162" s="101"/>
      <c r="BA162" s="101"/>
    </row>
    <row r="163" spans="1:53" s="97" customFormat="1" ht="15.75">
      <c r="A163" s="89"/>
      <c r="B163" s="118"/>
      <c r="C163" s="119"/>
      <c r="D163" s="119"/>
      <c r="E163" s="119"/>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P163" s="101"/>
      <c r="AQ163" s="101"/>
      <c r="AR163" s="101"/>
      <c r="AS163" s="101"/>
      <c r="AT163" s="101"/>
      <c r="AU163" s="101"/>
      <c r="AV163" s="101"/>
      <c r="AW163" s="101"/>
      <c r="AX163" s="101"/>
      <c r="AY163" s="101"/>
      <c r="AZ163" s="101"/>
      <c r="BA163" s="101"/>
    </row>
    <row r="164" spans="1:53" s="97" customFormat="1" ht="15.75">
      <c r="A164" s="89"/>
      <c r="B164" s="118"/>
      <c r="C164" s="119"/>
      <c r="D164" s="119"/>
      <c r="E164" s="119"/>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P164" s="101"/>
      <c r="AQ164" s="101"/>
      <c r="AR164" s="101"/>
      <c r="AS164" s="101"/>
      <c r="AT164" s="101"/>
      <c r="AU164" s="101"/>
      <c r="AV164" s="101"/>
      <c r="AW164" s="101"/>
      <c r="AX164" s="101"/>
      <c r="AY164" s="101"/>
      <c r="AZ164" s="101"/>
      <c r="BA164" s="101"/>
    </row>
    <row r="165" spans="1:53" s="97" customFormat="1" ht="15.75">
      <c r="A165" s="89"/>
      <c r="B165" s="118"/>
      <c r="C165" s="119"/>
      <c r="D165" s="119"/>
      <c r="E165" s="119"/>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P165" s="101"/>
      <c r="AQ165" s="101"/>
      <c r="AR165" s="101"/>
      <c r="AS165" s="101"/>
      <c r="AT165" s="101"/>
      <c r="AU165" s="101"/>
      <c r="AV165" s="101"/>
      <c r="AW165" s="101"/>
      <c r="AX165" s="101"/>
      <c r="AY165" s="101"/>
      <c r="AZ165" s="101"/>
      <c r="BA165" s="101"/>
    </row>
    <row r="166" spans="1:53" s="97" customFormat="1" ht="15.75">
      <c r="A166" s="89"/>
      <c r="B166" s="118"/>
      <c r="C166" s="119"/>
      <c r="D166" s="119"/>
      <c r="E166" s="119"/>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P166" s="101"/>
      <c r="AQ166" s="101"/>
      <c r="AR166" s="101"/>
      <c r="AS166" s="101"/>
      <c r="AT166" s="101"/>
      <c r="AU166" s="101"/>
      <c r="AV166" s="101"/>
      <c r="AW166" s="101"/>
      <c r="AX166" s="101"/>
      <c r="AY166" s="101"/>
      <c r="AZ166" s="101"/>
      <c r="BA166" s="101"/>
    </row>
    <row r="167" spans="1:53" s="97" customFormat="1" ht="15.75">
      <c r="A167" s="89"/>
      <c r="B167" s="118"/>
      <c r="C167" s="119"/>
      <c r="D167" s="119"/>
      <c r="E167" s="119"/>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P167" s="101"/>
      <c r="AQ167" s="101"/>
      <c r="AR167" s="101"/>
      <c r="AS167" s="101"/>
      <c r="AT167" s="101"/>
      <c r="AU167" s="101"/>
      <c r="AV167" s="101"/>
      <c r="AW167" s="101"/>
      <c r="AX167" s="101"/>
      <c r="AY167" s="101"/>
      <c r="AZ167" s="101"/>
      <c r="BA167" s="101"/>
    </row>
    <row r="168" spans="1:53" s="97" customFormat="1" ht="15.75">
      <c r="A168" s="89"/>
      <c r="B168" s="118"/>
      <c r="C168" s="119"/>
      <c r="D168" s="119"/>
      <c r="E168" s="119"/>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P168" s="101"/>
      <c r="AQ168" s="101"/>
      <c r="AR168" s="101"/>
      <c r="AS168" s="101"/>
      <c r="AT168" s="101"/>
      <c r="AU168" s="101"/>
      <c r="AV168" s="101"/>
      <c r="AW168" s="101"/>
      <c r="AX168" s="101"/>
      <c r="AY168" s="101"/>
      <c r="AZ168" s="101"/>
      <c r="BA168" s="101"/>
    </row>
    <row r="169" spans="1:53" s="97" customFormat="1" ht="15.75">
      <c r="A169" s="89"/>
      <c r="B169" s="118"/>
      <c r="C169" s="119"/>
      <c r="D169" s="119"/>
      <c r="E169" s="119"/>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P169" s="101"/>
      <c r="AQ169" s="101"/>
      <c r="AR169" s="101"/>
      <c r="AS169" s="101"/>
      <c r="AT169" s="101"/>
      <c r="AU169" s="101"/>
      <c r="AV169" s="101"/>
      <c r="AW169" s="101"/>
      <c r="AX169" s="101"/>
      <c r="AY169" s="101"/>
      <c r="AZ169" s="101"/>
      <c r="BA169" s="101"/>
    </row>
    <row r="170" spans="1:53" s="97" customFormat="1" ht="15.75">
      <c r="A170" s="89"/>
      <c r="B170" s="118"/>
      <c r="C170" s="119"/>
      <c r="D170" s="119"/>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P170" s="101"/>
      <c r="AQ170" s="101"/>
      <c r="AR170" s="101"/>
      <c r="AS170" s="101"/>
      <c r="AT170" s="101"/>
      <c r="AU170" s="101"/>
      <c r="AV170" s="101"/>
      <c r="AW170" s="101"/>
      <c r="AX170" s="101"/>
      <c r="AY170" s="101"/>
      <c r="AZ170" s="101"/>
      <c r="BA170" s="101"/>
    </row>
    <row r="171" spans="1:53" s="97" customFormat="1" ht="15.75">
      <c r="A171" s="89"/>
      <c r="B171" s="118"/>
      <c r="C171" s="119"/>
      <c r="D171" s="119"/>
      <c r="E171" s="119"/>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P171" s="101"/>
      <c r="AQ171" s="101"/>
      <c r="AR171" s="101"/>
      <c r="AS171" s="101"/>
      <c r="AT171" s="101"/>
      <c r="AU171" s="101"/>
      <c r="AV171" s="101"/>
      <c r="AW171" s="101"/>
      <c r="AX171" s="101"/>
      <c r="AY171" s="101"/>
      <c r="AZ171" s="101"/>
      <c r="BA171" s="101"/>
    </row>
    <row r="172" spans="1:53" s="97" customFormat="1" ht="15.75">
      <c r="A172" s="89"/>
      <c r="B172" s="118"/>
      <c r="C172" s="119"/>
      <c r="D172" s="119"/>
      <c r="E172" s="119"/>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P172" s="101"/>
      <c r="AQ172" s="101"/>
      <c r="AR172" s="101"/>
      <c r="AS172" s="101"/>
      <c r="AT172" s="101"/>
      <c r="AU172" s="101"/>
      <c r="AV172" s="101"/>
      <c r="AW172" s="101"/>
      <c r="AX172" s="101"/>
      <c r="AY172" s="101"/>
      <c r="AZ172" s="101"/>
      <c r="BA172" s="101"/>
    </row>
    <row r="173" spans="1:53" s="97" customFormat="1" ht="15.75">
      <c r="A173" s="89"/>
      <c r="B173" s="118"/>
      <c r="C173" s="119"/>
      <c r="D173" s="119"/>
      <c r="E173" s="119"/>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P173" s="101"/>
      <c r="AQ173" s="101"/>
      <c r="AR173" s="101"/>
      <c r="AS173" s="101"/>
      <c r="AT173" s="101"/>
      <c r="AU173" s="101"/>
      <c r="AV173" s="101"/>
      <c r="AW173" s="101"/>
      <c r="AX173" s="101"/>
      <c r="AY173" s="101"/>
      <c r="AZ173" s="101"/>
      <c r="BA173" s="101"/>
    </row>
    <row r="174" spans="1:53" s="97" customFormat="1" ht="15.75">
      <c r="A174" s="89"/>
      <c r="B174" s="118"/>
      <c r="C174" s="119"/>
      <c r="D174" s="119"/>
      <c r="E174" s="119"/>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P174" s="101"/>
      <c r="AQ174" s="101"/>
      <c r="AR174" s="101"/>
      <c r="AS174" s="101"/>
      <c r="AT174" s="101"/>
      <c r="AU174" s="101"/>
      <c r="AV174" s="101"/>
      <c r="AW174" s="101"/>
      <c r="AX174" s="101"/>
      <c r="AY174" s="101"/>
      <c r="AZ174" s="101"/>
      <c r="BA174" s="101"/>
    </row>
    <row r="175" spans="1:53" s="97" customFormat="1" ht="15.75">
      <c r="A175" s="89"/>
      <c r="B175" s="118"/>
      <c r="C175" s="119"/>
      <c r="D175" s="119"/>
      <c r="E175" s="119"/>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P175" s="101"/>
      <c r="AQ175" s="101"/>
      <c r="AR175" s="101"/>
      <c r="AS175" s="101"/>
      <c r="AT175" s="101"/>
      <c r="AU175" s="101"/>
      <c r="AV175" s="101"/>
      <c r="AW175" s="101"/>
      <c r="AX175" s="101"/>
      <c r="AY175" s="101"/>
      <c r="AZ175" s="101"/>
      <c r="BA175" s="101"/>
    </row>
    <row r="176" spans="1:53" s="97" customFormat="1" ht="15.75">
      <c r="A176" s="89"/>
      <c r="B176" s="118"/>
      <c r="C176" s="119"/>
      <c r="D176" s="119"/>
      <c r="E176" s="119"/>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P176" s="101"/>
      <c r="AQ176" s="101"/>
      <c r="AR176" s="101"/>
      <c r="AS176" s="101"/>
      <c r="AT176" s="101"/>
      <c r="AU176" s="101"/>
      <c r="AV176" s="101"/>
      <c r="AW176" s="101"/>
      <c r="AX176" s="101"/>
      <c r="AY176" s="101"/>
      <c r="AZ176" s="101"/>
      <c r="BA176" s="101"/>
    </row>
    <row r="177" spans="1:53" s="97" customFormat="1" ht="15.75">
      <c r="A177" s="89"/>
      <c r="B177" s="118"/>
      <c r="C177" s="119"/>
      <c r="D177" s="119"/>
      <c r="E177" s="119"/>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P177" s="101"/>
      <c r="AQ177" s="101"/>
      <c r="AR177" s="101"/>
      <c r="AS177" s="101"/>
      <c r="AT177" s="101"/>
      <c r="AU177" s="101"/>
      <c r="AV177" s="101"/>
      <c r="AW177" s="101"/>
      <c r="AX177" s="101"/>
      <c r="AY177" s="101"/>
      <c r="AZ177" s="101"/>
      <c r="BA177" s="101"/>
    </row>
    <row r="178" spans="1:53" s="97" customFormat="1" ht="15.75">
      <c r="A178" s="89"/>
      <c r="B178" s="118"/>
      <c r="C178" s="119"/>
      <c r="D178" s="119"/>
      <c r="E178" s="119"/>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P178" s="101"/>
      <c r="AQ178" s="101"/>
      <c r="AR178" s="101"/>
      <c r="AS178" s="101"/>
      <c r="AT178" s="101"/>
      <c r="AU178" s="101"/>
      <c r="AV178" s="101"/>
      <c r="AW178" s="101"/>
      <c r="AX178" s="101"/>
      <c r="AY178" s="101"/>
      <c r="AZ178" s="101"/>
      <c r="BA178" s="101"/>
    </row>
    <row r="179" spans="1:53" s="97" customFormat="1" ht="15.75">
      <c r="A179" s="89"/>
      <c r="B179" s="118"/>
      <c r="C179" s="119"/>
      <c r="D179" s="119"/>
      <c r="E179" s="119"/>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P179" s="101"/>
      <c r="AQ179" s="101"/>
      <c r="AR179" s="101"/>
      <c r="AS179" s="101"/>
      <c r="AT179" s="101"/>
      <c r="AU179" s="101"/>
      <c r="AV179" s="101"/>
      <c r="AW179" s="101"/>
      <c r="AX179" s="101"/>
      <c r="AY179" s="101"/>
      <c r="AZ179" s="101"/>
      <c r="BA179" s="101"/>
    </row>
    <row r="180" spans="1:53" s="97" customFormat="1" ht="15.75">
      <c r="A180" s="89"/>
      <c r="B180" s="118"/>
      <c r="C180" s="119"/>
      <c r="D180" s="119"/>
      <c r="E180" s="119"/>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P180" s="101"/>
      <c r="AQ180" s="101"/>
      <c r="AR180" s="101"/>
      <c r="AS180" s="101"/>
      <c r="AT180" s="101"/>
      <c r="AU180" s="101"/>
      <c r="AV180" s="101"/>
      <c r="AW180" s="101"/>
      <c r="AX180" s="101"/>
      <c r="AY180" s="101"/>
      <c r="AZ180" s="101"/>
      <c r="BA180" s="101"/>
    </row>
    <row r="181" spans="1:53" s="97" customFormat="1" ht="15.75">
      <c r="A181" s="89"/>
      <c r="B181" s="118"/>
      <c r="C181" s="119"/>
      <c r="D181" s="119"/>
      <c r="E181" s="119"/>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P181" s="101"/>
      <c r="AQ181" s="101"/>
      <c r="AR181" s="101"/>
      <c r="AS181" s="101"/>
      <c r="AT181" s="101"/>
      <c r="AU181" s="101"/>
      <c r="AV181" s="101"/>
      <c r="AW181" s="101"/>
      <c r="AX181" s="101"/>
      <c r="AY181" s="101"/>
      <c r="AZ181" s="101"/>
      <c r="BA181" s="101"/>
    </row>
    <row r="182" spans="1:53" s="97" customFormat="1" ht="15.75">
      <c r="A182" s="89"/>
      <c r="B182" s="118"/>
      <c r="C182" s="119"/>
      <c r="D182" s="119"/>
      <c r="E182" s="119"/>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P182" s="101"/>
      <c r="AQ182" s="101"/>
      <c r="AR182" s="101"/>
      <c r="AS182" s="101"/>
      <c r="AT182" s="101"/>
      <c r="AU182" s="101"/>
      <c r="AV182" s="101"/>
      <c r="AW182" s="101"/>
      <c r="AX182" s="101"/>
      <c r="AY182" s="101"/>
      <c r="AZ182" s="101"/>
      <c r="BA182" s="101"/>
    </row>
    <row r="183" spans="1:53" s="97" customFormat="1" ht="15.75">
      <c r="A183" s="89"/>
      <c r="B183" s="118"/>
      <c r="C183" s="119"/>
      <c r="D183" s="119"/>
      <c r="E183" s="119"/>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P183" s="101"/>
      <c r="AQ183" s="101"/>
      <c r="AR183" s="101"/>
      <c r="AS183" s="101"/>
      <c r="AT183" s="101"/>
      <c r="AU183" s="101"/>
      <c r="AV183" s="101"/>
      <c r="AW183" s="101"/>
      <c r="AX183" s="101"/>
      <c r="AY183" s="101"/>
      <c r="AZ183" s="101"/>
      <c r="BA183" s="101"/>
    </row>
    <row r="184" spans="1:53" s="97" customFormat="1" ht="15.75">
      <c r="A184" s="89"/>
      <c r="B184" s="118"/>
      <c r="C184" s="119"/>
      <c r="D184" s="119"/>
      <c r="E184" s="119"/>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P184" s="101"/>
      <c r="AQ184" s="101"/>
      <c r="AR184" s="101"/>
      <c r="AS184" s="101"/>
      <c r="AT184" s="101"/>
      <c r="AU184" s="101"/>
      <c r="AV184" s="101"/>
      <c r="AW184" s="101"/>
      <c r="AX184" s="101"/>
      <c r="AY184" s="101"/>
      <c r="AZ184" s="101"/>
      <c r="BA184" s="101"/>
    </row>
    <row r="185" spans="1:53" s="97" customFormat="1" ht="15.75">
      <c r="A185" s="89"/>
      <c r="B185" s="118"/>
      <c r="C185" s="119"/>
      <c r="D185" s="119"/>
      <c r="E185" s="119"/>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P185" s="101"/>
      <c r="AQ185" s="101"/>
      <c r="AR185" s="101"/>
      <c r="AS185" s="101"/>
      <c r="AT185" s="101"/>
      <c r="AU185" s="101"/>
      <c r="AV185" s="101"/>
      <c r="AW185" s="101"/>
      <c r="AX185" s="101"/>
      <c r="AY185" s="101"/>
      <c r="AZ185" s="101"/>
      <c r="BA185" s="101"/>
    </row>
    <row r="186" spans="1:53" s="97" customFormat="1" ht="15.75">
      <c r="A186" s="89"/>
      <c r="B186" s="118"/>
      <c r="C186" s="119"/>
      <c r="D186" s="119"/>
      <c r="E186" s="119"/>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P186" s="101"/>
      <c r="AQ186" s="101"/>
      <c r="AR186" s="101"/>
      <c r="AS186" s="101"/>
      <c r="AT186" s="101"/>
      <c r="AU186" s="101"/>
      <c r="AV186" s="101"/>
      <c r="AW186" s="101"/>
      <c r="AX186" s="101"/>
      <c r="AY186" s="101"/>
      <c r="AZ186" s="101"/>
      <c r="BA186" s="101"/>
    </row>
    <row r="187" spans="1:53" s="97" customFormat="1" ht="15.75">
      <c r="A187" s="89"/>
      <c r="B187" s="118"/>
      <c r="C187" s="119"/>
      <c r="D187" s="119"/>
      <c r="E187" s="119"/>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P187" s="101"/>
      <c r="AQ187" s="101"/>
      <c r="AR187" s="101"/>
      <c r="AS187" s="101"/>
      <c r="AT187" s="101"/>
      <c r="AU187" s="101"/>
      <c r="AV187" s="101"/>
      <c r="AW187" s="101"/>
      <c r="AX187" s="101"/>
      <c r="AY187" s="101"/>
      <c r="AZ187" s="101"/>
      <c r="BA187" s="101"/>
    </row>
    <row r="188" spans="1:53" s="97" customFormat="1" ht="15.75">
      <c r="A188" s="89"/>
      <c r="B188" s="118"/>
      <c r="C188" s="119"/>
      <c r="D188" s="119"/>
      <c r="E188" s="119"/>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P188" s="101"/>
      <c r="AQ188" s="101"/>
      <c r="AR188" s="101"/>
      <c r="AS188" s="101"/>
      <c r="AT188" s="101"/>
      <c r="AU188" s="101"/>
      <c r="AV188" s="101"/>
      <c r="AW188" s="101"/>
      <c r="AX188" s="101"/>
      <c r="AY188" s="101"/>
      <c r="AZ188" s="101"/>
      <c r="BA188" s="101"/>
    </row>
    <row r="189" spans="1:53" s="97" customFormat="1" ht="15.75">
      <c r="A189" s="89"/>
      <c r="B189" s="118"/>
      <c r="C189" s="119"/>
      <c r="D189" s="119"/>
      <c r="E189" s="11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P189" s="101"/>
      <c r="AQ189" s="101"/>
      <c r="AR189" s="101"/>
      <c r="AS189" s="101"/>
      <c r="AT189" s="101"/>
      <c r="AU189" s="101"/>
      <c r="AV189" s="101"/>
      <c r="AW189" s="101"/>
      <c r="AX189" s="101"/>
      <c r="AY189" s="101"/>
      <c r="AZ189" s="101"/>
      <c r="BA189" s="101"/>
    </row>
    <row r="190" spans="1:53" s="97" customFormat="1" ht="15.75">
      <c r="A190" s="89"/>
      <c r="B190" s="118"/>
      <c r="C190" s="119"/>
      <c r="D190" s="119"/>
      <c r="E190" s="119"/>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P190" s="101"/>
      <c r="AQ190" s="101"/>
      <c r="AR190" s="101"/>
      <c r="AS190" s="101"/>
      <c r="AT190" s="101"/>
      <c r="AU190" s="101"/>
      <c r="AV190" s="101"/>
      <c r="AW190" s="101"/>
      <c r="AX190" s="101"/>
      <c r="AY190" s="101"/>
      <c r="AZ190" s="101"/>
      <c r="BA190" s="101"/>
    </row>
    <row r="191" spans="1:53" s="97" customFormat="1" ht="15.75">
      <c r="A191" s="89"/>
      <c r="B191" s="118"/>
      <c r="C191" s="119"/>
      <c r="D191" s="119"/>
      <c r="E191" s="119"/>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P191" s="101"/>
      <c r="AQ191" s="101"/>
      <c r="AR191" s="101"/>
      <c r="AS191" s="101"/>
      <c r="AT191" s="101"/>
      <c r="AU191" s="101"/>
      <c r="AV191" s="101"/>
      <c r="AW191" s="101"/>
      <c r="AX191" s="101"/>
      <c r="AY191" s="101"/>
      <c r="AZ191" s="101"/>
      <c r="BA191" s="101"/>
    </row>
    <row r="192" spans="1:53" s="97" customFormat="1" ht="15.75">
      <c r="A192" s="89"/>
      <c r="B192" s="118"/>
      <c r="C192" s="119"/>
      <c r="D192" s="119"/>
      <c r="E192" s="119"/>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P192" s="101"/>
      <c r="AQ192" s="101"/>
      <c r="AR192" s="101"/>
      <c r="AS192" s="101"/>
      <c r="AT192" s="101"/>
      <c r="AU192" s="101"/>
      <c r="AV192" s="101"/>
      <c r="AW192" s="101"/>
      <c r="AX192" s="101"/>
      <c r="AY192" s="101"/>
      <c r="AZ192" s="101"/>
      <c r="BA192" s="101"/>
    </row>
    <row r="193" spans="1:53" s="97" customFormat="1" ht="15.75">
      <c r="A193" s="89"/>
      <c r="B193" s="118"/>
      <c r="C193" s="119"/>
      <c r="D193" s="119"/>
      <c r="E193" s="119"/>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P193" s="101"/>
      <c r="AQ193" s="101"/>
      <c r="AR193" s="101"/>
      <c r="AS193" s="101"/>
      <c r="AT193" s="101"/>
      <c r="AU193" s="101"/>
      <c r="AV193" s="101"/>
      <c r="AW193" s="101"/>
      <c r="AX193" s="101"/>
      <c r="AY193" s="101"/>
      <c r="AZ193" s="101"/>
      <c r="BA193" s="101"/>
    </row>
    <row r="194" spans="1:53" s="97" customFormat="1" ht="15.75">
      <c r="A194" s="89"/>
      <c r="B194" s="118"/>
      <c r="C194" s="119"/>
      <c r="D194" s="119"/>
      <c r="E194" s="119"/>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P194" s="101"/>
      <c r="AQ194" s="101"/>
      <c r="AR194" s="101"/>
      <c r="AS194" s="101"/>
      <c r="AT194" s="101"/>
      <c r="AU194" s="101"/>
      <c r="AV194" s="101"/>
      <c r="AW194" s="101"/>
      <c r="AX194" s="101"/>
      <c r="AY194" s="101"/>
      <c r="AZ194" s="101"/>
      <c r="BA194" s="101"/>
    </row>
    <row r="195" spans="1:53" s="97" customFormat="1" ht="15.75">
      <c r="A195" s="89"/>
      <c r="B195" s="118"/>
      <c r="C195" s="119"/>
      <c r="D195" s="119"/>
      <c r="E195" s="119"/>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P195" s="101"/>
      <c r="AQ195" s="101"/>
      <c r="AR195" s="101"/>
      <c r="AS195" s="101"/>
      <c r="AT195" s="101"/>
      <c r="AU195" s="101"/>
      <c r="AV195" s="101"/>
      <c r="AW195" s="101"/>
      <c r="AX195" s="101"/>
      <c r="AY195" s="101"/>
      <c r="AZ195" s="101"/>
      <c r="BA195" s="101"/>
    </row>
    <row r="196" spans="1:53" s="97" customFormat="1" ht="15.75">
      <c r="A196" s="89"/>
      <c r="B196" s="118"/>
      <c r="C196" s="119"/>
      <c r="D196" s="119"/>
      <c r="E196" s="119"/>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P196" s="101"/>
      <c r="AQ196" s="101"/>
      <c r="AR196" s="101"/>
      <c r="AS196" s="101"/>
      <c r="AT196" s="101"/>
      <c r="AU196" s="101"/>
      <c r="AV196" s="101"/>
      <c r="AW196" s="101"/>
      <c r="AX196" s="101"/>
      <c r="AY196" s="101"/>
      <c r="AZ196" s="101"/>
      <c r="BA196" s="101"/>
    </row>
    <row r="197" spans="1:53" s="97" customFormat="1" ht="15.75">
      <c r="A197" s="89"/>
      <c r="B197" s="118"/>
      <c r="C197" s="119"/>
      <c r="D197" s="119"/>
      <c r="E197" s="119"/>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P197" s="101"/>
      <c r="AQ197" s="101"/>
      <c r="AR197" s="101"/>
      <c r="AS197" s="101"/>
      <c r="AT197" s="101"/>
      <c r="AU197" s="101"/>
      <c r="AV197" s="101"/>
      <c r="AW197" s="101"/>
      <c r="AX197" s="101"/>
      <c r="AY197" s="101"/>
      <c r="AZ197" s="101"/>
      <c r="BA197" s="101"/>
    </row>
    <row r="198" spans="1:53" s="97" customFormat="1" ht="15.75">
      <c r="A198" s="89"/>
      <c r="B198" s="118"/>
      <c r="C198" s="119"/>
      <c r="D198" s="119"/>
      <c r="E198" s="119"/>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P198" s="101"/>
      <c r="AQ198" s="101"/>
      <c r="AR198" s="101"/>
      <c r="AS198" s="101"/>
      <c r="AT198" s="101"/>
      <c r="AU198" s="101"/>
      <c r="AV198" s="101"/>
      <c r="AW198" s="101"/>
      <c r="AX198" s="101"/>
      <c r="AY198" s="101"/>
      <c r="AZ198" s="101"/>
      <c r="BA198" s="101"/>
    </row>
    <row r="199" spans="1:53" s="97" customFormat="1" ht="15.75">
      <c r="A199" s="89"/>
      <c r="B199" s="118"/>
      <c r="C199" s="119"/>
      <c r="D199" s="119"/>
      <c r="E199" s="119"/>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P199" s="101"/>
      <c r="AQ199" s="101"/>
      <c r="AR199" s="101"/>
      <c r="AS199" s="101"/>
      <c r="AT199" s="101"/>
      <c r="AU199" s="101"/>
      <c r="AV199" s="101"/>
      <c r="AW199" s="101"/>
      <c r="AX199" s="101"/>
      <c r="AY199" s="101"/>
      <c r="AZ199" s="101"/>
      <c r="BA199" s="101"/>
    </row>
    <row r="200" spans="1:53" s="97" customFormat="1" ht="15.75">
      <c r="A200" s="89"/>
      <c r="B200" s="118"/>
      <c r="C200" s="119"/>
      <c r="D200" s="119"/>
      <c r="E200" s="119"/>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P200" s="101"/>
      <c r="AQ200" s="101"/>
      <c r="AR200" s="101"/>
      <c r="AS200" s="101"/>
      <c r="AT200" s="101"/>
      <c r="AU200" s="101"/>
      <c r="AV200" s="101"/>
      <c r="AW200" s="101"/>
      <c r="AX200" s="101"/>
      <c r="AY200" s="101"/>
      <c r="AZ200" s="101"/>
      <c r="BA200" s="101"/>
    </row>
    <row r="201" spans="1:53" s="97" customFormat="1" ht="15.75">
      <c r="A201" s="89"/>
      <c r="B201" s="118"/>
      <c r="C201" s="119"/>
      <c r="D201" s="119"/>
      <c r="E201" s="119"/>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P201" s="101"/>
      <c r="AQ201" s="101"/>
      <c r="AR201" s="101"/>
      <c r="AS201" s="101"/>
      <c r="AT201" s="101"/>
      <c r="AU201" s="101"/>
      <c r="AV201" s="101"/>
      <c r="AW201" s="101"/>
      <c r="AX201" s="101"/>
      <c r="AY201" s="101"/>
      <c r="AZ201" s="101"/>
      <c r="BA201" s="101"/>
    </row>
    <row r="202" spans="1:53" s="97" customFormat="1" ht="15.75">
      <c r="A202" s="89"/>
      <c r="B202" s="118"/>
      <c r="C202" s="119"/>
      <c r="D202" s="119"/>
      <c r="E202" s="119"/>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P202" s="101"/>
      <c r="AQ202" s="101"/>
      <c r="AR202" s="101"/>
      <c r="AS202" s="101"/>
      <c r="AT202" s="101"/>
      <c r="AU202" s="101"/>
      <c r="AV202" s="101"/>
      <c r="AW202" s="101"/>
      <c r="AX202" s="101"/>
      <c r="AY202" s="101"/>
      <c r="AZ202" s="101"/>
      <c r="BA202" s="101"/>
    </row>
    <row r="203" spans="1:53" s="97" customFormat="1" ht="15.75">
      <c r="A203" s="89"/>
      <c r="B203" s="118"/>
      <c r="C203" s="119"/>
      <c r="D203" s="119"/>
      <c r="E203" s="119"/>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P203" s="101"/>
      <c r="AQ203" s="101"/>
      <c r="AR203" s="101"/>
      <c r="AS203" s="101"/>
      <c r="AT203" s="101"/>
      <c r="AU203" s="101"/>
      <c r="AV203" s="101"/>
      <c r="AW203" s="101"/>
      <c r="AX203" s="101"/>
      <c r="AY203" s="101"/>
      <c r="AZ203" s="101"/>
      <c r="BA203" s="101"/>
    </row>
    <row r="204" spans="1:53" s="97" customFormat="1" ht="15.75">
      <c r="A204" s="89"/>
      <c r="B204" s="118"/>
      <c r="C204" s="119"/>
      <c r="D204" s="119"/>
      <c r="E204" s="119"/>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P204" s="101"/>
      <c r="AQ204" s="101"/>
      <c r="AR204" s="101"/>
      <c r="AS204" s="101"/>
      <c r="AT204" s="101"/>
      <c r="AU204" s="101"/>
      <c r="AV204" s="101"/>
      <c r="AW204" s="101"/>
      <c r="AX204" s="101"/>
      <c r="AY204" s="101"/>
      <c r="AZ204" s="101"/>
      <c r="BA204" s="101"/>
    </row>
    <row r="205" spans="1:53" s="97" customFormat="1" ht="15.75">
      <c r="A205" s="89"/>
      <c r="B205" s="118"/>
      <c r="C205" s="119"/>
      <c r="D205" s="119"/>
      <c r="E205" s="119"/>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P205" s="101"/>
      <c r="AQ205" s="101"/>
      <c r="AR205" s="101"/>
      <c r="AS205" s="101"/>
      <c r="AT205" s="101"/>
      <c r="AU205" s="101"/>
      <c r="AV205" s="101"/>
      <c r="AW205" s="101"/>
      <c r="AX205" s="101"/>
      <c r="AY205" s="101"/>
      <c r="AZ205" s="101"/>
      <c r="BA205" s="101"/>
    </row>
    <row r="206" spans="1:53" s="97" customFormat="1" ht="15.75">
      <c r="A206" s="89"/>
      <c r="B206" s="118"/>
      <c r="C206" s="119"/>
      <c r="D206" s="119"/>
      <c r="E206" s="119"/>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P206" s="101"/>
      <c r="AQ206" s="101"/>
      <c r="AR206" s="101"/>
      <c r="AS206" s="101"/>
      <c r="AT206" s="101"/>
      <c r="AU206" s="101"/>
      <c r="AV206" s="101"/>
      <c r="AW206" s="101"/>
      <c r="AX206" s="101"/>
      <c r="AY206" s="101"/>
      <c r="AZ206" s="101"/>
      <c r="BA206" s="101"/>
    </row>
    <row r="207" spans="1:53" s="97" customFormat="1" ht="15.75">
      <c r="A207" s="89"/>
      <c r="B207" s="118"/>
      <c r="C207" s="119"/>
      <c r="D207" s="119"/>
      <c r="E207" s="119"/>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P207" s="101"/>
      <c r="AQ207" s="101"/>
      <c r="AR207" s="101"/>
      <c r="AS207" s="101"/>
      <c r="AT207" s="101"/>
      <c r="AU207" s="101"/>
      <c r="AV207" s="101"/>
      <c r="AW207" s="101"/>
      <c r="AX207" s="101"/>
      <c r="AY207" s="101"/>
      <c r="AZ207" s="101"/>
      <c r="BA207" s="101"/>
    </row>
    <row r="208" spans="1:53" s="97" customFormat="1" ht="15.75">
      <c r="A208" s="89"/>
      <c r="B208" s="118"/>
      <c r="C208" s="119"/>
      <c r="D208" s="119"/>
      <c r="E208" s="119"/>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P208" s="101"/>
      <c r="AQ208" s="101"/>
      <c r="AR208" s="101"/>
      <c r="AS208" s="101"/>
      <c r="AT208" s="101"/>
      <c r="AU208" s="101"/>
      <c r="AV208" s="101"/>
      <c r="AW208" s="101"/>
      <c r="AX208" s="101"/>
      <c r="AY208" s="101"/>
      <c r="AZ208" s="101"/>
      <c r="BA208" s="101"/>
    </row>
    <row r="209" spans="1:53" s="97" customFormat="1" ht="15.75">
      <c r="A209" s="89"/>
      <c r="B209" s="118"/>
      <c r="C209" s="119"/>
      <c r="D209" s="119"/>
      <c r="E209" s="119"/>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P209" s="101"/>
      <c r="AQ209" s="101"/>
      <c r="AR209" s="101"/>
      <c r="AS209" s="101"/>
      <c r="AT209" s="101"/>
      <c r="AU209" s="101"/>
      <c r="AV209" s="101"/>
      <c r="AW209" s="101"/>
      <c r="AX209" s="101"/>
      <c r="AY209" s="101"/>
      <c r="AZ209" s="101"/>
      <c r="BA209" s="101"/>
    </row>
    <row r="210" spans="1:53" s="97" customFormat="1" ht="15.75">
      <c r="A210" s="89"/>
      <c r="B210" s="118"/>
      <c r="C210" s="119"/>
      <c r="D210" s="119"/>
      <c r="E210" s="119"/>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P210" s="101"/>
      <c r="AQ210" s="101"/>
      <c r="AR210" s="101"/>
      <c r="AS210" s="101"/>
      <c r="AT210" s="101"/>
      <c r="AU210" s="101"/>
      <c r="AV210" s="101"/>
      <c r="AW210" s="101"/>
      <c r="AX210" s="101"/>
      <c r="AY210" s="101"/>
      <c r="AZ210" s="101"/>
      <c r="BA210" s="101"/>
    </row>
    <row r="211" spans="1:53" s="97" customFormat="1" ht="15.75">
      <c r="A211" s="89"/>
      <c r="B211" s="118"/>
      <c r="C211" s="119"/>
      <c r="D211" s="119"/>
      <c r="E211" s="119"/>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P211" s="101"/>
      <c r="AQ211" s="101"/>
      <c r="AR211" s="101"/>
      <c r="AS211" s="101"/>
      <c r="AT211" s="101"/>
      <c r="AU211" s="101"/>
      <c r="AV211" s="101"/>
      <c r="AW211" s="101"/>
      <c r="AX211" s="101"/>
      <c r="AY211" s="101"/>
      <c r="AZ211" s="101"/>
      <c r="BA211" s="101"/>
    </row>
    <row r="212" spans="1:53" s="97" customFormat="1" ht="15.75">
      <c r="A212" s="89"/>
      <c r="B212" s="118"/>
      <c r="C212" s="119"/>
      <c r="D212" s="119"/>
      <c r="E212" s="119"/>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P212" s="101"/>
      <c r="AQ212" s="101"/>
      <c r="AR212" s="101"/>
      <c r="AS212" s="101"/>
      <c r="AT212" s="101"/>
      <c r="AU212" s="101"/>
      <c r="AV212" s="101"/>
      <c r="AW212" s="101"/>
      <c r="AX212" s="101"/>
      <c r="AY212" s="101"/>
      <c r="AZ212" s="101"/>
      <c r="BA212" s="101"/>
    </row>
    <row r="213" spans="1:53" s="97" customFormat="1" ht="15.75">
      <c r="A213" s="89"/>
      <c r="B213" s="118"/>
      <c r="C213" s="119"/>
      <c r="D213" s="119"/>
      <c r="E213" s="119"/>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P213" s="101"/>
      <c r="AQ213" s="101"/>
      <c r="AR213" s="101"/>
      <c r="AS213" s="101"/>
      <c r="AT213" s="101"/>
      <c r="AU213" s="101"/>
      <c r="AV213" s="101"/>
      <c r="AW213" s="101"/>
      <c r="AX213" s="101"/>
      <c r="AY213" s="101"/>
      <c r="AZ213" s="101"/>
      <c r="BA213" s="101"/>
    </row>
    <row r="214" spans="1:53" s="97" customFormat="1" ht="15.75">
      <c r="A214" s="89"/>
      <c r="B214" s="118"/>
      <c r="C214" s="119"/>
      <c r="D214" s="119"/>
      <c r="E214" s="119"/>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P214" s="101"/>
      <c r="AQ214" s="101"/>
      <c r="AR214" s="101"/>
      <c r="AS214" s="101"/>
      <c r="AT214" s="101"/>
      <c r="AU214" s="101"/>
      <c r="AV214" s="101"/>
      <c r="AW214" s="101"/>
      <c r="AX214" s="101"/>
      <c r="AY214" s="101"/>
      <c r="AZ214" s="101"/>
      <c r="BA214" s="101"/>
    </row>
    <row r="215" spans="1:53" s="97" customFormat="1" ht="15.75">
      <c r="A215" s="89"/>
      <c r="B215" s="118"/>
      <c r="C215" s="119"/>
      <c r="D215" s="119"/>
      <c r="E215" s="119"/>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P215" s="101"/>
      <c r="AQ215" s="101"/>
      <c r="AR215" s="101"/>
      <c r="AS215" s="101"/>
      <c r="AT215" s="101"/>
      <c r="AU215" s="101"/>
      <c r="AV215" s="101"/>
      <c r="AW215" s="101"/>
      <c r="AX215" s="101"/>
      <c r="AY215" s="101"/>
      <c r="AZ215" s="101"/>
      <c r="BA215" s="101"/>
    </row>
    <row r="216" spans="1:53" s="97" customFormat="1" ht="15.75">
      <c r="A216" s="89"/>
      <c r="B216" s="118"/>
      <c r="C216" s="119"/>
      <c r="D216" s="119"/>
      <c r="E216" s="119"/>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P216" s="101"/>
      <c r="AQ216" s="101"/>
      <c r="AR216" s="101"/>
      <c r="AS216" s="101"/>
      <c r="AT216" s="101"/>
      <c r="AU216" s="101"/>
      <c r="AV216" s="101"/>
      <c r="AW216" s="101"/>
      <c r="AX216" s="101"/>
      <c r="AY216" s="101"/>
      <c r="AZ216" s="101"/>
      <c r="BA216" s="101"/>
    </row>
    <row r="217" spans="1:53" s="97" customFormat="1" ht="15.75">
      <c r="A217" s="89"/>
      <c r="B217" s="118"/>
      <c r="C217" s="119"/>
      <c r="D217" s="119"/>
      <c r="E217" s="119"/>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P217" s="101"/>
      <c r="AQ217" s="101"/>
      <c r="AR217" s="101"/>
      <c r="AS217" s="101"/>
      <c r="AT217" s="101"/>
      <c r="AU217" s="101"/>
      <c r="AV217" s="101"/>
      <c r="AW217" s="101"/>
      <c r="AX217" s="101"/>
      <c r="AY217" s="101"/>
      <c r="AZ217" s="101"/>
      <c r="BA217" s="101"/>
    </row>
    <row r="218" spans="1:53" s="97" customFormat="1" ht="15.75">
      <c r="A218" s="89"/>
      <c r="B218" s="118"/>
      <c r="C218" s="119"/>
      <c r="D218" s="119"/>
      <c r="E218" s="119"/>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P218" s="101"/>
      <c r="AQ218" s="101"/>
      <c r="AR218" s="101"/>
      <c r="AS218" s="101"/>
      <c r="AT218" s="101"/>
      <c r="AU218" s="101"/>
      <c r="AV218" s="101"/>
      <c r="AW218" s="101"/>
      <c r="AX218" s="101"/>
      <c r="AY218" s="101"/>
      <c r="AZ218" s="101"/>
      <c r="BA218" s="101"/>
    </row>
    <row r="219" spans="1:53" s="97" customFormat="1" ht="15.75">
      <c r="A219" s="89"/>
      <c r="B219" s="118"/>
      <c r="C219" s="119"/>
      <c r="D219" s="119"/>
      <c r="E219" s="119"/>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P219" s="101"/>
      <c r="AQ219" s="101"/>
      <c r="AR219" s="101"/>
      <c r="AS219" s="101"/>
      <c r="AT219" s="101"/>
      <c r="AU219" s="101"/>
      <c r="AV219" s="101"/>
      <c r="AW219" s="101"/>
      <c r="AX219" s="101"/>
      <c r="AY219" s="101"/>
      <c r="AZ219" s="101"/>
      <c r="BA219" s="101"/>
    </row>
    <row r="220" spans="1:53" s="97" customFormat="1" ht="15.75">
      <c r="A220" s="89"/>
      <c r="B220" s="118"/>
      <c r="C220" s="119"/>
      <c r="D220" s="119"/>
      <c r="E220" s="119"/>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P220" s="101"/>
      <c r="AQ220" s="101"/>
      <c r="AR220" s="101"/>
      <c r="AS220" s="101"/>
      <c r="AT220" s="101"/>
      <c r="AU220" s="101"/>
      <c r="AV220" s="101"/>
      <c r="AW220" s="101"/>
      <c r="AX220" s="101"/>
      <c r="AY220" s="101"/>
      <c r="AZ220" s="101"/>
      <c r="BA220" s="101"/>
    </row>
    <row r="221" spans="1:53" s="97" customFormat="1" ht="15.75">
      <c r="A221" s="89"/>
      <c r="B221" s="118"/>
      <c r="C221" s="119"/>
      <c r="D221" s="119"/>
      <c r="E221" s="119"/>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P221" s="101"/>
      <c r="AQ221" s="101"/>
      <c r="AR221" s="101"/>
      <c r="AS221" s="101"/>
      <c r="AT221" s="101"/>
      <c r="AU221" s="101"/>
      <c r="AV221" s="101"/>
      <c r="AW221" s="101"/>
      <c r="AX221" s="101"/>
      <c r="AY221" s="101"/>
      <c r="AZ221" s="101"/>
      <c r="BA221" s="101"/>
    </row>
    <row r="222" spans="1:53" s="97" customFormat="1" ht="15.75">
      <c r="A222" s="89"/>
      <c r="B222" s="118"/>
      <c r="C222" s="119"/>
      <c r="D222" s="119"/>
      <c r="E222" s="119"/>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P222" s="101"/>
      <c r="AQ222" s="101"/>
      <c r="AR222" s="101"/>
      <c r="AS222" s="101"/>
      <c r="AT222" s="101"/>
      <c r="AU222" s="101"/>
      <c r="AV222" s="101"/>
      <c r="AW222" s="101"/>
      <c r="AX222" s="101"/>
      <c r="AY222" s="101"/>
      <c r="AZ222" s="101"/>
      <c r="BA222" s="101"/>
    </row>
    <row r="223" spans="1:53" s="97" customFormat="1" ht="15.75">
      <c r="A223" s="89"/>
      <c r="B223" s="118"/>
      <c r="C223" s="119"/>
      <c r="D223" s="119"/>
      <c r="E223" s="119"/>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P223" s="101"/>
      <c r="AQ223" s="101"/>
      <c r="AR223" s="101"/>
      <c r="AS223" s="101"/>
      <c r="AT223" s="101"/>
      <c r="AU223" s="101"/>
      <c r="AV223" s="101"/>
      <c r="AW223" s="101"/>
      <c r="AX223" s="101"/>
      <c r="AY223" s="101"/>
      <c r="AZ223" s="101"/>
      <c r="BA223" s="101"/>
    </row>
    <row r="224" spans="1:53" s="97" customFormat="1" ht="15.75">
      <c r="A224" s="89"/>
      <c r="B224" s="118"/>
      <c r="C224" s="119"/>
      <c r="D224" s="119"/>
      <c r="E224" s="119"/>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P224" s="101"/>
      <c r="AQ224" s="101"/>
      <c r="AR224" s="101"/>
      <c r="AS224" s="101"/>
      <c r="AT224" s="101"/>
      <c r="AU224" s="101"/>
      <c r="AV224" s="101"/>
      <c r="AW224" s="101"/>
      <c r="AX224" s="101"/>
      <c r="AY224" s="101"/>
      <c r="AZ224" s="101"/>
      <c r="BA224" s="101"/>
    </row>
    <row r="225" spans="1:53" s="97" customFormat="1" ht="15.75">
      <c r="A225" s="89"/>
      <c r="B225" s="118"/>
      <c r="C225" s="119"/>
      <c r="D225" s="119"/>
      <c r="E225" s="119"/>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P225" s="101"/>
      <c r="AQ225" s="101"/>
      <c r="AR225" s="101"/>
      <c r="AS225" s="101"/>
      <c r="AT225" s="101"/>
      <c r="AU225" s="101"/>
      <c r="AV225" s="101"/>
      <c r="AW225" s="101"/>
      <c r="AX225" s="101"/>
      <c r="AY225" s="101"/>
      <c r="AZ225" s="101"/>
      <c r="BA225" s="101"/>
    </row>
    <row r="226" spans="1:53" s="97" customFormat="1" ht="15.75">
      <c r="A226" s="89"/>
      <c r="B226" s="118"/>
      <c r="C226" s="119"/>
      <c r="D226" s="119"/>
      <c r="E226" s="119"/>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P226" s="101"/>
      <c r="AQ226" s="101"/>
      <c r="AR226" s="101"/>
      <c r="AS226" s="101"/>
      <c r="AT226" s="101"/>
      <c r="AU226" s="101"/>
      <c r="AV226" s="101"/>
      <c r="AW226" s="101"/>
      <c r="AX226" s="101"/>
      <c r="AY226" s="101"/>
      <c r="AZ226" s="101"/>
      <c r="BA226" s="101"/>
    </row>
    <row r="227" spans="1:53" s="97" customFormat="1" ht="15.75">
      <c r="A227" s="89"/>
      <c r="B227" s="118"/>
      <c r="C227" s="119"/>
      <c r="D227" s="119"/>
      <c r="E227" s="119"/>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P227" s="101"/>
      <c r="AQ227" s="101"/>
      <c r="AR227" s="101"/>
      <c r="AS227" s="101"/>
      <c r="AT227" s="101"/>
      <c r="AU227" s="101"/>
      <c r="AV227" s="101"/>
      <c r="AW227" s="101"/>
      <c r="AX227" s="101"/>
      <c r="AY227" s="101"/>
      <c r="AZ227" s="101"/>
      <c r="BA227" s="101"/>
    </row>
    <row r="228" spans="1:53" s="97" customFormat="1" ht="15.75">
      <c r="A228" s="89"/>
      <c r="B228" s="118"/>
      <c r="C228" s="119"/>
      <c r="D228" s="119"/>
      <c r="E228" s="119"/>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P228" s="101"/>
      <c r="AQ228" s="101"/>
      <c r="AR228" s="101"/>
      <c r="AS228" s="101"/>
      <c r="AT228" s="101"/>
      <c r="AU228" s="101"/>
      <c r="AV228" s="101"/>
      <c r="AW228" s="101"/>
      <c r="AX228" s="101"/>
      <c r="AY228" s="101"/>
      <c r="AZ228" s="101"/>
      <c r="BA228" s="101"/>
    </row>
    <row r="229" spans="1:53" s="97" customFormat="1" ht="15.75">
      <c r="A229" s="89"/>
      <c r="B229" s="118"/>
      <c r="C229" s="119"/>
      <c r="D229" s="119"/>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P229" s="101"/>
      <c r="AQ229" s="101"/>
      <c r="AR229" s="101"/>
      <c r="AS229" s="101"/>
      <c r="AT229" s="101"/>
      <c r="AU229" s="101"/>
      <c r="AV229" s="101"/>
      <c r="AW229" s="101"/>
      <c r="AX229" s="101"/>
      <c r="AY229" s="101"/>
      <c r="AZ229" s="101"/>
      <c r="BA229" s="101"/>
    </row>
    <row r="230" spans="1:53" s="97" customFormat="1" ht="15.75">
      <c r="A230" s="89"/>
      <c r="B230" s="118"/>
      <c r="C230" s="119"/>
      <c r="D230" s="119"/>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P230" s="101"/>
      <c r="AQ230" s="101"/>
      <c r="AR230" s="101"/>
      <c r="AS230" s="101"/>
      <c r="AT230" s="101"/>
      <c r="AU230" s="101"/>
      <c r="AV230" s="101"/>
      <c r="AW230" s="101"/>
      <c r="AX230" s="101"/>
      <c r="AY230" s="101"/>
      <c r="AZ230" s="101"/>
      <c r="BA230" s="101"/>
    </row>
    <row r="231" spans="1:53" s="97" customFormat="1" ht="15.75">
      <c r="A231" s="89"/>
      <c r="B231" s="118"/>
      <c r="C231" s="119"/>
      <c r="D231" s="119"/>
      <c r="E231" s="119"/>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P231" s="101"/>
      <c r="AQ231" s="101"/>
      <c r="AR231" s="101"/>
      <c r="AS231" s="101"/>
      <c r="AT231" s="101"/>
      <c r="AU231" s="101"/>
      <c r="AV231" s="101"/>
      <c r="AW231" s="101"/>
      <c r="AX231" s="101"/>
      <c r="AY231" s="101"/>
      <c r="AZ231" s="101"/>
      <c r="BA231" s="101"/>
    </row>
    <row r="232" spans="1:53" s="97" customFormat="1" ht="15.75">
      <c r="A232" s="89"/>
      <c r="B232" s="118"/>
      <c r="C232" s="119"/>
      <c r="D232" s="119"/>
      <c r="E232" s="119"/>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P232" s="101"/>
      <c r="AQ232" s="101"/>
      <c r="AR232" s="101"/>
      <c r="AS232" s="101"/>
      <c r="AT232" s="101"/>
      <c r="AU232" s="101"/>
      <c r="AV232" s="101"/>
      <c r="AW232" s="101"/>
      <c r="AX232" s="101"/>
      <c r="AY232" s="101"/>
      <c r="AZ232" s="101"/>
      <c r="BA232" s="101"/>
    </row>
    <row r="233" spans="1:53" s="97" customFormat="1" ht="15.75">
      <c r="A233" s="89"/>
      <c r="B233" s="118"/>
      <c r="C233" s="119"/>
      <c r="D233" s="119"/>
      <c r="E233" s="119"/>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P233" s="101"/>
      <c r="AQ233" s="101"/>
      <c r="AR233" s="101"/>
      <c r="AS233" s="101"/>
      <c r="AT233" s="101"/>
      <c r="AU233" s="101"/>
      <c r="AV233" s="101"/>
      <c r="AW233" s="101"/>
      <c r="AX233" s="101"/>
      <c r="AY233" s="101"/>
      <c r="AZ233" s="101"/>
      <c r="BA233" s="101"/>
    </row>
    <row r="234" spans="1:53" s="97" customFormat="1" ht="15.75">
      <c r="A234" s="89"/>
      <c r="B234" s="118"/>
      <c r="C234" s="119"/>
      <c r="D234" s="119"/>
      <c r="E234" s="119"/>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P234" s="101"/>
      <c r="AQ234" s="101"/>
      <c r="AR234" s="101"/>
      <c r="AS234" s="101"/>
      <c r="AT234" s="101"/>
      <c r="AU234" s="101"/>
      <c r="AV234" s="101"/>
      <c r="AW234" s="101"/>
      <c r="AX234" s="101"/>
      <c r="AY234" s="101"/>
      <c r="AZ234" s="101"/>
      <c r="BA234" s="101"/>
    </row>
    <row r="235" spans="1:53" s="97" customFormat="1" ht="15.75">
      <c r="A235" s="89"/>
      <c r="B235" s="118"/>
      <c r="C235" s="119"/>
      <c r="D235" s="119"/>
      <c r="E235" s="119"/>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P235" s="101"/>
      <c r="AQ235" s="101"/>
      <c r="AR235" s="101"/>
      <c r="AS235" s="101"/>
      <c r="AT235" s="101"/>
      <c r="AU235" s="101"/>
      <c r="AV235" s="101"/>
      <c r="AW235" s="101"/>
      <c r="AX235" s="101"/>
      <c r="AY235" s="101"/>
      <c r="AZ235" s="101"/>
      <c r="BA235" s="101"/>
    </row>
    <row r="236" spans="1:53" s="97" customFormat="1" ht="15.75">
      <c r="A236" s="89"/>
      <c r="B236" s="118"/>
      <c r="C236" s="119"/>
      <c r="D236" s="119"/>
      <c r="E236" s="119"/>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P236" s="101"/>
      <c r="AQ236" s="101"/>
      <c r="AR236" s="101"/>
      <c r="AS236" s="101"/>
      <c r="AT236" s="101"/>
      <c r="AU236" s="101"/>
      <c r="AV236" s="101"/>
      <c r="AW236" s="101"/>
      <c r="AX236" s="101"/>
      <c r="AY236" s="101"/>
      <c r="AZ236" s="101"/>
      <c r="BA236" s="101"/>
    </row>
    <row r="237" spans="1:53" s="97" customFormat="1" ht="15.75">
      <c r="A237" s="89"/>
      <c r="B237" s="118"/>
      <c r="C237" s="119"/>
      <c r="D237" s="119"/>
      <c r="E237" s="119"/>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P237" s="101"/>
      <c r="AQ237" s="101"/>
      <c r="AR237" s="101"/>
      <c r="AS237" s="101"/>
      <c r="AT237" s="101"/>
      <c r="AU237" s="101"/>
      <c r="AV237" s="101"/>
      <c r="AW237" s="101"/>
      <c r="AX237" s="101"/>
      <c r="AY237" s="101"/>
      <c r="AZ237" s="101"/>
      <c r="BA237" s="101"/>
    </row>
    <row r="238" spans="1:53" s="97" customFormat="1" ht="15.75">
      <c r="A238" s="89"/>
      <c r="B238" s="118"/>
      <c r="C238" s="119"/>
      <c r="D238" s="119"/>
      <c r="E238" s="119"/>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P238" s="101"/>
      <c r="AQ238" s="101"/>
      <c r="AR238" s="101"/>
      <c r="AS238" s="101"/>
      <c r="AT238" s="101"/>
      <c r="AU238" s="101"/>
      <c r="AV238" s="101"/>
      <c r="AW238" s="101"/>
      <c r="AX238" s="101"/>
      <c r="AY238" s="101"/>
      <c r="AZ238" s="101"/>
      <c r="BA238" s="101"/>
    </row>
    <row r="239" spans="1:53" s="97" customFormat="1" ht="15.75">
      <c r="A239" s="89"/>
      <c r="B239" s="118"/>
      <c r="C239" s="119"/>
      <c r="D239" s="119"/>
      <c r="E239" s="119"/>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P239" s="101"/>
      <c r="AQ239" s="101"/>
      <c r="AR239" s="101"/>
      <c r="AS239" s="101"/>
      <c r="AT239" s="101"/>
      <c r="AU239" s="101"/>
      <c r="AV239" s="101"/>
      <c r="AW239" s="101"/>
      <c r="AX239" s="101"/>
      <c r="AY239" s="101"/>
      <c r="AZ239" s="101"/>
      <c r="BA239" s="101"/>
    </row>
    <row r="240" spans="1:53" s="97" customFormat="1" ht="15.75">
      <c r="A240" s="89"/>
      <c r="B240" s="118"/>
      <c r="C240" s="119"/>
      <c r="D240" s="119"/>
      <c r="E240" s="119"/>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P240" s="101"/>
      <c r="AQ240" s="101"/>
      <c r="AR240" s="101"/>
      <c r="AS240" s="101"/>
      <c r="AT240" s="101"/>
      <c r="AU240" s="101"/>
      <c r="AV240" s="101"/>
      <c r="AW240" s="101"/>
      <c r="AX240" s="101"/>
      <c r="AY240" s="101"/>
      <c r="AZ240" s="101"/>
      <c r="BA240" s="101"/>
    </row>
    <row r="241" spans="1:53" s="97" customFormat="1" ht="15.75">
      <c r="A241" s="89"/>
      <c r="B241" s="118"/>
      <c r="C241" s="119"/>
      <c r="D241" s="119"/>
      <c r="E241" s="119"/>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P241" s="101"/>
      <c r="AQ241" s="101"/>
      <c r="AR241" s="101"/>
      <c r="AS241" s="101"/>
      <c r="AT241" s="101"/>
      <c r="AU241" s="101"/>
      <c r="AV241" s="101"/>
      <c r="AW241" s="101"/>
      <c r="AX241" s="101"/>
      <c r="AY241" s="101"/>
      <c r="AZ241" s="101"/>
      <c r="BA241" s="101"/>
    </row>
    <row r="242" spans="1:53" s="97" customFormat="1" ht="15.75">
      <c r="A242" s="89"/>
      <c r="B242" s="118"/>
      <c r="C242" s="119"/>
      <c r="D242" s="119"/>
      <c r="E242" s="119"/>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P242" s="101"/>
      <c r="AQ242" s="101"/>
      <c r="AR242" s="101"/>
      <c r="AS242" s="101"/>
      <c r="AT242" s="101"/>
      <c r="AU242" s="101"/>
      <c r="AV242" s="101"/>
      <c r="AW242" s="101"/>
      <c r="AX242" s="101"/>
      <c r="AY242" s="101"/>
      <c r="AZ242" s="101"/>
      <c r="BA242" s="101"/>
    </row>
    <row r="243" spans="1:53" s="97" customFormat="1" ht="15.75">
      <c r="A243" s="89"/>
      <c r="B243" s="118"/>
      <c r="C243" s="119"/>
      <c r="D243" s="119"/>
      <c r="E243" s="119"/>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P243" s="101"/>
      <c r="AQ243" s="101"/>
      <c r="AR243" s="101"/>
      <c r="AS243" s="101"/>
      <c r="AT243" s="101"/>
      <c r="AU243" s="101"/>
      <c r="AV243" s="101"/>
      <c r="AW243" s="101"/>
      <c r="AX243" s="101"/>
      <c r="AY243" s="101"/>
      <c r="AZ243" s="101"/>
      <c r="BA243" s="101"/>
    </row>
    <row r="244" spans="1:53" s="97" customFormat="1" ht="15.75">
      <c r="A244" s="89"/>
      <c r="B244" s="118"/>
      <c r="C244" s="119"/>
      <c r="D244" s="119"/>
      <c r="E244" s="119"/>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P244" s="101"/>
      <c r="AQ244" s="101"/>
      <c r="AR244" s="101"/>
      <c r="AS244" s="101"/>
      <c r="AT244" s="101"/>
      <c r="AU244" s="101"/>
      <c r="AV244" s="101"/>
      <c r="AW244" s="101"/>
      <c r="AX244" s="101"/>
      <c r="AY244" s="101"/>
      <c r="AZ244" s="101"/>
      <c r="BA244" s="101"/>
    </row>
    <row r="245" spans="1:53" s="97" customFormat="1" ht="15.75">
      <c r="A245" s="89"/>
      <c r="B245" s="118"/>
      <c r="C245" s="119"/>
      <c r="D245" s="119"/>
      <c r="E245" s="119"/>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P245" s="101"/>
      <c r="AQ245" s="101"/>
      <c r="AR245" s="101"/>
      <c r="AS245" s="101"/>
      <c r="AT245" s="101"/>
      <c r="AU245" s="101"/>
      <c r="AV245" s="101"/>
      <c r="AW245" s="101"/>
      <c r="AX245" s="101"/>
      <c r="AY245" s="101"/>
      <c r="AZ245" s="101"/>
      <c r="BA245" s="101"/>
    </row>
    <row r="246" spans="1:53" s="97" customFormat="1" ht="15.75">
      <c r="A246" s="89"/>
      <c r="B246" s="118"/>
      <c r="C246" s="119"/>
      <c r="D246" s="119"/>
      <c r="E246" s="119"/>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P246" s="101"/>
      <c r="AQ246" s="101"/>
      <c r="AR246" s="101"/>
      <c r="AS246" s="101"/>
      <c r="AT246" s="101"/>
      <c r="AU246" s="101"/>
      <c r="AV246" s="101"/>
      <c r="AW246" s="101"/>
      <c r="AX246" s="101"/>
      <c r="AY246" s="101"/>
      <c r="AZ246" s="101"/>
      <c r="BA246" s="101"/>
    </row>
    <row r="247" spans="1:53" s="97" customFormat="1" ht="15.75">
      <c r="A247" s="89"/>
      <c r="B247" s="118"/>
      <c r="C247" s="119"/>
      <c r="D247" s="119"/>
      <c r="E247" s="119"/>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P247" s="101"/>
      <c r="AQ247" s="101"/>
      <c r="AR247" s="101"/>
      <c r="AS247" s="101"/>
      <c r="AT247" s="101"/>
      <c r="AU247" s="101"/>
      <c r="AV247" s="101"/>
      <c r="AW247" s="101"/>
      <c r="AX247" s="101"/>
      <c r="AY247" s="101"/>
      <c r="AZ247" s="101"/>
      <c r="BA247" s="101"/>
    </row>
    <row r="248" spans="1:53" s="97" customFormat="1" ht="15.75">
      <c r="A248" s="89"/>
      <c r="B248" s="118"/>
      <c r="C248" s="119"/>
      <c r="D248" s="119"/>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P248" s="101"/>
      <c r="AQ248" s="101"/>
      <c r="AR248" s="101"/>
      <c r="AS248" s="101"/>
      <c r="AT248" s="101"/>
      <c r="AU248" s="101"/>
      <c r="AV248" s="101"/>
      <c r="AW248" s="101"/>
      <c r="AX248" s="101"/>
      <c r="AY248" s="101"/>
      <c r="AZ248" s="101"/>
      <c r="BA248" s="101"/>
    </row>
    <row r="249" spans="1:53" s="97" customFormat="1" ht="15.75">
      <c r="A249" s="89"/>
      <c r="B249" s="118"/>
      <c r="C249" s="119"/>
      <c r="D249" s="119"/>
      <c r="E249" s="11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P249" s="101"/>
      <c r="AQ249" s="101"/>
      <c r="AR249" s="101"/>
      <c r="AS249" s="101"/>
      <c r="AT249" s="101"/>
      <c r="AU249" s="101"/>
      <c r="AV249" s="101"/>
      <c r="AW249" s="101"/>
      <c r="AX249" s="101"/>
      <c r="AY249" s="101"/>
      <c r="AZ249" s="101"/>
      <c r="BA249" s="101"/>
    </row>
    <row r="250" spans="1:53" s="97" customFormat="1" ht="15.75">
      <c r="A250" s="89"/>
      <c r="B250" s="118"/>
      <c r="C250" s="119"/>
      <c r="D250" s="119"/>
      <c r="E250" s="119"/>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P250" s="101"/>
      <c r="AQ250" s="101"/>
      <c r="AR250" s="101"/>
      <c r="AS250" s="101"/>
      <c r="AT250" s="101"/>
      <c r="AU250" s="101"/>
      <c r="AV250" s="101"/>
      <c r="AW250" s="101"/>
      <c r="AX250" s="101"/>
      <c r="AY250" s="101"/>
      <c r="AZ250" s="101"/>
      <c r="BA250" s="101"/>
    </row>
    <row r="251" spans="1:53" s="97" customFormat="1" ht="15.75">
      <c r="A251" s="89"/>
      <c r="B251" s="118"/>
      <c r="C251" s="119"/>
      <c r="D251" s="119"/>
      <c r="E251" s="119"/>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P251" s="101"/>
      <c r="AQ251" s="101"/>
      <c r="AR251" s="101"/>
      <c r="AS251" s="101"/>
      <c r="AT251" s="101"/>
      <c r="AU251" s="101"/>
      <c r="AV251" s="101"/>
      <c r="AW251" s="101"/>
      <c r="AX251" s="101"/>
      <c r="AY251" s="101"/>
      <c r="AZ251" s="101"/>
      <c r="BA251" s="101"/>
    </row>
    <row r="252" spans="1:53" s="97" customFormat="1" ht="15.75">
      <c r="A252" s="89"/>
      <c r="B252" s="118"/>
      <c r="C252" s="119"/>
      <c r="D252" s="119"/>
      <c r="E252" s="119"/>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P252" s="101"/>
      <c r="AQ252" s="101"/>
      <c r="AR252" s="101"/>
      <c r="AS252" s="101"/>
      <c r="AT252" s="101"/>
      <c r="AU252" s="101"/>
      <c r="AV252" s="101"/>
      <c r="AW252" s="101"/>
      <c r="AX252" s="101"/>
      <c r="AY252" s="101"/>
      <c r="AZ252" s="101"/>
      <c r="BA252" s="101"/>
    </row>
    <row r="253" spans="1:53" s="97" customFormat="1" ht="15.75">
      <c r="A253" s="89"/>
      <c r="B253" s="118"/>
      <c r="C253" s="119"/>
      <c r="D253" s="119"/>
      <c r="E253" s="119"/>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P253" s="101"/>
      <c r="AQ253" s="101"/>
      <c r="AR253" s="101"/>
      <c r="AS253" s="101"/>
      <c r="AT253" s="101"/>
      <c r="AU253" s="101"/>
      <c r="AV253" s="101"/>
      <c r="AW253" s="101"/>
      <c r="AX253" s="101"/>
      <c r="AY253" s="101"/>
      <c r="AZ253" s="101"/>
      <c r="BA253" s="101"/>
    </row>
    <row r="254" spans="1:53" s="97" customFormat="1" ht="15.75">
      <c r="A254" s="89"/>
      <c r="B254" s="118"/>
      <c r="C254" s="119"/>
      <c r="D254" s="119"/>
      <c r="E254" s="119"/>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P254" s="101"/>
      <c r="AQ254" s="101"/>
      <c r="AR254" s="101"/>
      <c r="AS254" s="101"/>
      <c r="AT254" s="101"/>
      <c r="AU254" s="101"/>
      <c r="AV254" s="101"/>
      <c r="AW254" s="101"/>
      <c r="AX254" s="101"/>
      <c r="AY254" s="101"/>
      <c r="AZ254" s="101"/>
      <c r="BA254" s="101"/>
    </row>
    <row r="255" spans="1:53" s="97" customFormat="1" ht="15.75">
      <c r="A255" s="89"/>
      <c r="B255" s="118"/>
      <c r="C255" s="119"/>
      <c r="D255" s="119"/>
      <c r="E255" s="119"/>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P255" s="101"/>
      <c r="AQ255" s="101"/>
      <c r="AR255" s="101"/>
      <c r="AS255" s="101"/>
      <c r="AT255" s="101"/>
      <c r="AU255" s="101"/>
      <c r="AV255" s="101"/>
      <c r="AW255" s="101"/>
      <c r="AX255" s="101"/>
      <c r="AY255" s="101"/>
      <c r="AZ255" s="101"/>
      <c r="BA255" s="101"/>
    </row>
    <row r="256" spans="1:53" s="97" customFormat="1" ht="15.75">
      <c r="A256" s="89"/>
      <c r="B256" s="118"/>
      <c r="C256" s="119"/>
      <c r="D256" s="119"/>
      <c r="E256" s="119"/>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P256" s="101"/>
      <c r="AQ256" s="101"/>
      <c r="AR256" s="101"/>
      <c r="AS256" s="101"/>
      <c r="AT256" s="101"/>
      <c r="AU256" s="101"/>
      <c r="AV256" s="101"/>
      <c r="AW256" s="101"/>
      <c r="AX256" s="101"/>
      <c r="AY256" s="101"/>
      <c r="AZ256" s="101"/>
      <c r="BA256" s="101"/>
    </row>
    <row r="257" spans="1:53" s="97" customFormat="1" ht="15.75">
      <c r="A257" s="89"/>
      <c r="B257" s="118"/>
      <c r="C257" s="119"/>
      <c r="D257" s="119"/>
      <c r="E257" s="119"/>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P257" s="101"/>
      <c r="AQ257" s="101"/>
      <c r="AR257" s="101"/>
      <c r="AS257" s="101"/>
      <c r="AT257" s="101"/>
      <c r="AU257" s="101"/>
      <c r="AV257" s="101"/>
      <c r="AW257" s="101"/>
      <c r="AX257" s="101"/>
      <c r="AY257" s="101"/>
      <c r="AZ257" s="101"/>
      <c r="BA257" s="101"/>
    </row>
    <row r="258" spans="1:53" s="97" customFormat="1" ht="15.75">
      <c r="A258" s="89"/>
      <c r="B258" s="118"/>
      <c r="C258" s="119"/>
      <c r="D258" s="119"/>
      <c r="E258" s="119"/>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P258" s="101"/>
      <c r="AQ258" s="101"/>
      <c r="AR258" s="101"/>
      <c r="AS258" s="101"/>
      <c r="AT258" s="101"/>
      <c r="AU258" s="101"/>
      <c r="AV258" s="101"/>
      <c r="AW258" s="101"/>
      <c r="AX258" s="101"/>
      <c r="AY258" s="101"/>
      <c r="AZ258" s="101"/>
      <c r="BA258" s="101"/>
    </row>
    <row r="259" spans="1:53" s="97" customFormat="1" ht="15.75">
      <c r="A259" s="89"/>
      <c r="B259" s="118"/>
      <c r="C259" s="119"/>
      <c r="D259" s="119"/>
      <c r="E259" s="119"/>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P259" s="101"/>
      <c r="AQ259" s="101"/>
      <c r="AR259" s="101"/>
      <c r="AS259" s="101"/>
      <c r="AT259" s="101"/>
      <c r="AU259" s="101"/>
      <c r="AV259" s="101"/>
      <c r="AW259" s="101"/>
      <c r="AX259" s="101"/>
      <c r="AY259" s="101"/>
      <c r="AZ259" s="101"/>
      <c r="BA259" s="101"/>
    </row>
    <row r="260" spans="1:53" s="97" customFormat="1" ht="15.75">
      <c r="A260" s="89"/>
      <c r="B260" s="118"/>
      <c r="C260" s="119"/>
      <c r="D260" s="119"/>
      <c r="E260" s="119"/>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P260" s="101"/>
      <c r="AQ260" s="101"/>
      <c r="AR260" s="101"/>
      <c r="AS260" s="101"/>
      <c r="AT260" s="101"/>
      <c r="AU260" s="101"/>
      <c r="AV260" s="101"/>
      <c r="AW260" s="101"/>
      <c r="AX260" s="101"/>
      <c r="AY260" s="101"/>
      <c r="AZ260" s="101"/>
      <c r="BA260" s="101"/>
    </row>
    <row r="261" spans="1:53" s="97" customFormat="1" ht="15.75">
      <c r="A261" s="89"/>
      <c r="B261" s="118"/>
      <c r="C261" s="119"/>
      <c r="D261" s="119"/>
      <c r="E261" s="119"/>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P261" s="101"/>
      <c r="AQ261" s="101"/>
      <c r="AR261" s="101"/>
      <c r="AS261" s="101"/>
      <c r="AT261" s="101"/>
      <c r="AU261" s="101"/>
      <c r="AV261" s="101"/>
      <c r="AW261" s="101"/>
      <c r="AX261" s="101"/>
      <c r="AY261" s="101"/>
      <c r="AZ261" s="101"/>
      <c r="BA261" s="101"/>
    </row>
    <row r="262" spans="1:53" s="97" customFormat="1" ht="15.75">
      <c r="A262" s="89"/>
      <c r="B262" s="118"/>
      <c r="C262" s="119"/>
      <c r="D262" s="119"/>
      <c r="E262" s="119"/>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P262" s="101"/>
      <c r="AQ262" s="101"/>
      <c r="AR262" s="101"/>
      <c r="AS262" s="101"/>
      <c r="AT262" s="101"/>
      <c r="AU262" s="101"/>
      <c r="AV262" s="101"/>
      <c r="AW262" s="101"/>
      <c r="AX262" s="101"/>
      <c r="AY262" s="101"/>
      <c r="AZ262" s="101"/>
      <c r="BA262" s="101"/>
    </row>
    <row r="263" spans="1:53" s="97" customFormat="1" ht="15.75">
      <c r="A263" s="89"/>
      <c r="B263" s="118"/>
      <c r="C263" s="119"/>
      <c r="D263" s="119"/>
      <c r="E263" s="119"/>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P263" s="101"/>
      <c r="AQ263" s="101"/>
      <c r="AR263" s="101"/>
      <c r="AS263" s="101"/>
      <c r="AT263" s="101"/>
      <c r="AU263" s="101"/>
      <c r="AV263" s="101"/>
      <c r="AW263" s="101"/>
      <c r="AX263" s="101"/>
      <c r="AY263" s="101"/>
      <c r="AZ263" s="101"/>
      <c r="BA263" s="101"/>
    </row>
    <row r="264" spans="1:53" s="97" customFormat="1" ht="15.75">
      <c r="A264" s="89"/>
      <c r="B264" s="118"/>
      <c r="C264" s="119"/>
      <c r="D264" s="119"/>
      <c r="E264" s="119"/>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P264" s="101"/>
      <c r="AQ264" s="101"/>
      <c r="AR264" s="101"/>
      <c r="AS264" s="101"/>
      <c r="AT264" s="101"/>
      <c r="AU264" s="101"/>
      <c r="AV264" s="101"/>
      <c r="AW264" s="101"/>
      <c r="AX264" s="101"/>
      <c r="AY264" s="101"/>
      <c r="AZ264" s="101"/>
      <c r="BA264" s="101"/>
    </row>
    <row r="265" spans="1:53" s="97" customFormat="1" ht="15.75">
      <c r="A265" s="89"/>
      <c r="B265" s="118"/>
      <c r="C265" s="119"/>
      <c r="D265" s="119"/>
      <c r="E265" s="119"/>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P265" s="101"/>
      <c r="AQ265" s="101"/>
      <c r="AR265" s="101"/>
      <c r="AS265" s="101"/>
      <c r="AT265" s="101"/>
      <c r="AU265" s="101"/>
      <c r="AV265" s="101"/>
      <c r="AW265" s="101"/>
      <c r="AX265" s="101"/>
      <c r="AY265" s="101"/>
      <c r="AZ265" s="101"/>
      <c r="BA265" s="101"/>
    </row>
    <row r="266" spans="1:53" s="97" customFormat="1" ht="15.75">
      <c r="A266" s="89"/>
      <c r="B266" s="118"/>
      <c r="C266" s="119"/>
      <c r="D266" s="119"/>
      <c r="E266" s="119"/>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P266" s="101"/>
      <c r="AQ266" s="101"/>
      <c r="AR266" s="101"/>
      <c r="AS266" s="101"/>
      <c r="AT266" s="101"/>
      <c r="AU266" s="101"/>
      <c r="AV266" s="101"/>
      <c r="AW266" s="101"/>
      <c r="AX266" s="101"/>
      <c r="AY266" s="101"/>
      <c r="AZ266" s="101"/>
      <c r="BA266" s="101"/>
    </row>
    <row r="267" spans="1:53" s="97" customFormat="1" ht="15.75">
      <c r="A267" s="89"/>
      <c r="B267" s="118"/>
      <c r="C267" s="119"/>
      <c r="D267" s="119"/>
      <c r="E267" s="119"/>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P267" s="101"/>
      <c r="AQ267" s="101"/>
      <c r="AR267" s="101"/>
      <c r="AS267" s="101"/>
      <c r="AT267" s="101"/>
      <c r="AU267" s="101"/>
      <c r="AV267" s="101"/>
      <c r="AW267" s="101"/>
      <c r="AX267" s="101"/>
      <c r="AY267" s="101"/>
      <c r="AZ267" s="101"/>
      <c r="BA267" s="101"/>
    </row>
    <row r="268" spans="1:53" s="97" customFormat="1" ht="15.75">
      <c r="A268" s="89"/>
      <c r="B268" s="118"/>
      <c r="C268" s="119"/>
      <c r="D268" s="119"/>
      <c r="E268" s="119"/>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P268" s="101"/>
      <c r="AQ268" s="101"/>
      <c r="AR268" s="101"/>
      <c r="AS268" s="101"/>
      <c r="AT268" s="101"/>
      <c r="AU268" s="101"/>
      <c r="AV268" s="101"/>
      <c r="AW268" s="101"/>
      <c r="AX268" s="101"/>
      <c r="AY268" s="101"/>
      <c r="AZ268" s="101"/>
      <c r="BA268" s="101"/>
    </row>
    <row r="269" spans="1:53" s="97" customFormat="1" ht="15.75">
      <c r="A269" s="89"/>
      <c r="B269" s="118"/>
      <c r="C269" s="119"/>
      <c r="D269" s="119"/>
      <c r="E269" s="119"/>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P269" s="101"/>
      <c r="AQ269" s="101"/>
      <c r="AR269" s="101"/>
      <c r="AS269" s="101"/>
      <c r="AT269" s="101"/>
      <c r="AU269" s="101"/>
      <c r="AV269" s="101"/>
      <c r="AW269" s="101"/>
      <c r="AX269" s="101"/>
      <c r="AY269" s="101"/>
      <c r="AZ269" s="101"/>
      <c r="BA269" s="101"/>
    </row>
    <row r="270" spans="1:53" s="97" customFormat="1" ht="15.75">
      <c r="A270" s="89"/>
      <c r="B270" s="118"/>
      <c r="C270" s="119"/>
      <c r="D270" s="119"/>
      <c r="E270" s="119"/>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P270" s="101"/>
      <c r="AQ270" s="101"/>
      <c r="AR270" s="101"/>
      <c r="AS270" s="101"/>
      <c r="AT270" s="101"/>
      <c r="AU270" s="101"/>
      <c r="AV270" s="101"/>
      <c r="AW270" s="101"/>
      <c r="AX270" s="101"/>
      <c r="AY270" s="101"/>
      <c r="AZ270" s="101"/>
      <c r="BA270" s="101"/>
    </row>
    <row r="271" spans="1:53" s="97" customFormat="1" ht="15.75">
      <c r="A271" s="89"/>
      <c r="B271" s="118"/>
      <c r="C271" s="119"/>
      <c r="D271" s="119"/>
      <c r="E271" s="119"/>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P271" s="101"/>
      <c r="AQ271" s="101"/>
      <c r="AR271" s="101"/>
      <c r="AS271" s="101"/>
      <c r="AT271" s="101"/>
      <c r="AU271" s="101"/>
      <c r="AV271" s="101"/>
      <c r="AW271" s="101"/>
      <c r="AX271" s="101"/>
      <c r="AY271" s="101"/>
      <c r="AZ271" s="101"/>
      <c r="BA271" s="101"/>
    </row>
    <row r="272" spans="1:53" s="97" customFormat="1" ht="15.75">
      <c r="A272" s="89"/>
      <c r="B272" s="118"/>
      <c r="C272" s="119"/>
      <c r="D272" s="119"/>
      <c r="E272" s="119"/>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P272" s="101"/>
      <c r="AQ272" s="101"/>
      <c r="AR272" s="101"/>
      <c r="AS272" s="101"/>
      <c r="AT272" s="101"/>
      <c r="AU272" s="101"/>
      <c r="AV272" s="101"/>
      <c r="AW272" s="101"/>
      <c r="AX272" s="101"/>
      <c r="AY272" s="101"/>
      <c r="AZ272" s="101"/>
      <c r="BA272" s="101"/>
    </row>
    <row r="273" spans="1:53" s="97" customFormat="1" ht="15.75">
      <c r="A273" s="89"/>
      <c r="B273" s="118"/>
      <c r="C273" s="119"/>
      <c r="D273" s="119"/>
      <c r="E273" s="119"/>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P273" s="101"/>
      <c r="AQ273" s="101"/>
      <c r="AR273" s="101"/>
      <c r="AS273" s="101"/>
      <c r="AT273" s="101"/>
      <c r="AU273" s="101"/>
      <c r="AV273" s="101"/>
      <c r="AW273" s="101"/>
      <c r="AX273" s="101"/>
      <c r="AY273" s="101"/>
      <c r="AZ273" s="101"/>
      <c r="BA273" s="101"/>
    </row>
    <row r="274" spans="1:53" s="97" customFormat="1" ht="15.75">
      <c r="A274" s="89"/>
      <c r="B274" s="118"/>
      <c r="C274" s="119"/>
      <c r="D274" s="119"/>
      <c r="E274" s="119"/>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P274" s="101"/>
      <c r="AQ274" s="101"/>
      <c r="AR274" s="101"/>
      <c r="AS274" s="101"/>
      <c r="AT274" s="101"/>
      <c r="AU274" s="101"/>
      <c r="AV274" s="101"/>
      <c r="AW274" s="101"/>
      <c r="AX274" s="101"/>
      <c r="AY274" s="101"/>
      <c r="AZ274" s="101"/>
      <c r="BA274" s="101"/>
    </row>
    <row r="275" spans="1:53" s="97" customFormat="1" ht="15.75">
      <c r="A275" s="89"/>
      <c r="B275" s="118"/>
      <c r="C275" s="119"/>
      <c r="D275" s="119"/>
      <c r="E275" s="119"/>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P275" s="101"/>
      <c r="AQ275" s="101"/>
      <c r="AR275" s="101"/>
      <c r="AS275" s="101"/>
      <c r="AT275" s="101"/>
      <c r="AU275" s="101"/>
      <c r="AV275" s="101"/>
      <c r="AW275" s="101"/>
      <c r="AX275" s="101"/>
      <c r="AY275" s="101"/>
      <c r="AZ275" s="101"/>
      <c r="BA275" s="101"/>
    </row>
    <row r="276" spans="1:53" s="97" customFormat="1" ht="15.75">
      <c r="A276" s="89"/>
      <c r="B276" s="118"/>
      <c r="C276" s="119"/>
      <c r="D276" s="119"/>
      <c r="E276" s="119"/>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P276" s="101"/>
      <c r="AQ276" s="101"/>
      <c r="AR276" s="101"/>
      <c r="AS276" s="101"/>
      <c r="AT276" s="101"/>
      <c r="AU276" s="101"/>
      <c r="AV276" s="101"/>
      <c r="AW276" s="101"/>
      <c r="AX276" s="101"/>
      <c r="AY276" s="101"/>
      <c r="AZ276" s="101"/>
      <c r="BA276" s="101"/>
    </row>
    <row r="277" spans="1:53" s="97" customFormat="1" ht="15.75">
      <c r="A277" s="89"/>
      <c r="B277" s="118"/>
      <c r="C277" s="119"/>
      <c r="D277" s="119"/>
      <c r="E277" s="119"/>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P277" s="101"/>
      <c r="AQ277" s="101"/>
      <c r="AR277" s="101"/>
      <c r="AS277" s="101"/>
      <c r="AT277" s="101"/>
      <c r="AU277" s="101"/>
      <c r="AV277" s="101"/>
      <c r="AW277" s="101"/>
      <c r="AX277" s="101"/>
      <c r="AY277" s="101"/>
      <c r="AZ277" s="101"/>
      <c r="BA277" s="101"/>
    </row>
    <row r="278" spans="1:53" s="97" customFormat="1" ht="15.75">
      <c r="A278" s="89"/>
      <c r="B278" s="118"/>
      <c r="C278" s="119"/>
      <c r="D278" s="119"/>
      <c r="E278" s="119"/>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P278" s="101"/>
      <c r="AQ278" s="101"/>
      <c r="AR278" s="101"/>
      <c r="AS278" s="101"/>
      <c r="AT278" s="101"/>
      <c r="AU278" s="101"/>
      <c r="AV278" s="101"/>
      <c r="AW278" s="101"/>
      <c r="AX278" s="101"/>
      <c r="AY278" s="101"/>
      <c r="AZ278" s="101"/>
      <c r="BA278" s="101"/>
    </row>
    <row r="279" spans="1:53" s="97" customFormat="1" ht="15.75">
      <c r="A279" s="89"/>
      <c r="B279" s="118"/>
      <c r="C279" s="119"/>
      <c r="D279" s="119"/>
      <c r="E279" s="119"/>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P279" s="101"/>
      <c r="AQ279" s="101"/>
      <c r="AR279" s="101"/>
      <c r="AS279" s="101"/>
      <c r="AT279" s="101"/>
      <c r="AU279" s="101"/>
      <c r="AV279" s="101"/>
      <c r="AW279" s="101"/>
      <c r="AX279" s="101"/>
      <c r="AY279" s="101"/>
      <c r="AZ279" s="101"/>
      <c r="BA279" s="101"/>
    </row>
    <row r="280" spans="1:53" s="97" customFormat="1" ht="15.75">
      <c r="A280" s="89"/>
      <c r="B280" s="118"/>
      <c r="C280" s="119"/>
      <c r="D280" s="119"/>
      <c r="E280" s="119"/>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P280" s="101"/>
      <c r="AQ280" s="101"/>
      <c r="AR280" s="101"/>
      <c r="AS280" s="101"/>
      <c r="AT280" s="101"/>
      <c r="AU280" s="101"/>
      <c r="AV280" s="101"/>
      <c r="AW280" s="101"/>
      <c r="AX280" s="101"/>
      <c r="AY280" s="101"/>
      <c r="AZ280" s="101"/>
      <c r="BA280" s="101"/>
    </row>
    <row r="281" spans="1:53" s="97" customFormat="1" ht="15.75">
      <c r="A281" s="89"/>
      <c r="B281" s="118"/>
      <c r="C281" s="119"/>
      <c r="D281" s="119"/>
      <c r="E281" s="119"/>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P281" s="101"/>
      <c r="AQ281" s="101"/>
      <c r="AR281" s="101"/>
      <c r="AS281" s="101"/>
      <c r="AT281" s="101"/>
      <c r="AU281" s="101"/>
      <c r="AV281" s="101"/>
      <c r="AW281" s="101"/>
      <c r="AX281" s="101"/>
      <c r="AY281" s="101"/>
      <c r="AZ281" s="101"/>
      <c r="BA281" s="101"/>
    </row>
    <row r="282" spans="1:53" s="97" customFormat="1" ht="15.75">
      <c r="A282" s="89"/>
      <c r="B282" s="118"/>
      <c r="C282" s="119"/>
      <c r="D282" s="119"/>
      <c r="E282" s="119"/>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P282" s="101"/>
      <c r="AQ282" s="101"/>
      <c r="AR282" s="101"/>
      <c r="AS282" s="101"/>
      <c r="AT282" s="101"/>
      <c r="AU282" s="101"/>
      <c r="AV282" s="101"/>
      <c r="AW282" s="101"/>
      <c r="AX282" s="101"/>
      <c r="AY282" s="101"/>
      <c r="AZ282" s="101"/>
      <c r="BA282" s="101"/>
    </row>
    <row r="283" spans="1:53" s="97" customFormat="1" ht="15.75">
      <c r="A283" s="89"/>
      <c r="B283" s="118"/>
      <c r="C283" s="119"/>
      <c r="D283" s="119"/>
      <c r="E283" s="119"/>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P283" s="101"/>
      <c r="AQ283" s="101"/>
      <c r="AR283" s="101"/>
      <c r="AS283" s="101"/>
      <c r="AT283" s="101"/>
      <c r="AU283" s="101"/>
      <c r="AV283" s="101"/>
      <c r="AW283" s="101"/>
      <c r="AX283" s="101"/>
      <c r="AY283" s="101"/>
      <c r="AZ283" s="101"/>
      <c r="BA283" s="101"/>
    </row>
    <row r="284" spans="1:53" s="97" customFormat="1" ht="15.75">
      <c r="A284" s="89"/>
      <c r="B284" s="118"/>
      <c r="C284" s="119"/>
      <c r="D284" s="119"/>
      <c r="E284" s="119"/>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P284" s="101"/>
      <c r="AQ284" s="101"/>
      <c r="AR284" s="101"/>
      <c r="AS284" s="101"/>
      <c r="AT284" s="101"/>
      <c r="AU284" s="101"/>
      <c r="AV284" s="101"/>
      <c r="AW284" s="101"/>
      <c r="AX284" s="101"/>
      <c r="AY284" s="101"/>
      <c r="AZ284" s="101"/>
      <c r="BA284" s="101"/>
    </row>
    <row r="285" spans="1:53" s="97" customFormat="1" ht="15.75">
      <c r="A285" s="89"/>
      <c r="B285" s="118"/>
      <c r="C285" s="119"/>
      <c r="D285" s="119"/>
      <c r="E285" s="119"/>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P285" s="101"/>
      <c r="AQ285" s="101"/>
      <c r="AR285" s="101"/>
      <c r="AS285" s="101"/>
      <c r="AT285" s="101"/>
      <c r="AU285" s="101"/>
      <c r="AV285" s="101"/>
      <c r="AW285" s="101"/>
      <c r="AX285" s="101"/>
      <c r="AY285" s="101"/>
      <c r="AZ285" s="101"/>
      <c r="BA285" s="101"/>
    </row>
    <row r="286" spans="1:53" s="97" customFormat="1" ht="15.75">
      <c r="A286" s="89"/>
      <c r="B286" s="118"/>
      <c r="C286" s="119"/>
      <c r="D286" s="119"/>
      <c r="E286" s="119"/>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P286" s="101"/>
      <c r="AQ286" s="101"/>
      <c r="AR286" s="101"/>
      <c r="AS286" s="101"/>
      <c r="AT286" s="101"/>
      <c r="AU286" s="101"/>
      <c r="AV286" s="101"/>
      <c r="AW286" s="101"/>
      <c r="AX286" s="101"/>
      <c r="AY286" s="101"/>
      <c r="AZ286" s="101"/>
      <c r="BA286" s="101"/>
    </row>
    <row r="287" spans="1:53" s="97" customFormat="1" ht="15.75">
      <c r="A287" s="89"/>
      <c r="B287" s="118"/>
      <c r="C287" s="119"/>
      <c r="D287" s="119"/>
      <c r="E287" s="119"/>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P287" s="101"/>
      <c r="AQ287" s="101"/>
      <c r="AR287" s="101"/>
      <c r="AS287" s="101"/>
      <c r="AT287" s="101"/>
      <c r="AU287" s="101"/>
      <c r="AV287" s="101"/>
      <c r="AW287" s="101"/>
      <c r="AX287" s="101"/>
      <c r="AY287" s="101"/>
      <c r="AZ287" s="101"/>
      <c r="BA287" s="101"/>
    </row>
    <row r="288" spans="1:53" s="97" customFormat="1" ht="15.75">
      <c r="A288" s="89"/>
      <c r="B288" s="118"/>
      <c r="C288" s="119"/>
      <c r="D288" s="119"/>
      <c r="E288" s="119"/>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P288" s="101"/>
      <c r="AQ288" s="101"/>
      <c r="AR288" s="101"/>
      <c r="AS288" s="101"/>
      <c r="AT288" s="101"/>
      <c r="AU288" s="101"/>
      <c r="AV288" s="101"/>
      <c r="AW288" s="101"/>
      <c r="AX288" s="101"/>
      <c r="AY288" s="101"/>
      <c r="AZ288" s="101"/>
      <c r="BA288" s="101"/>
    </row>
    <row r="289" spans="1:53" s="97" customFormat="1" ht="15.75">
      <c r="A289" s="89"/>
      <c r="B289" s="118"/>
      <c r="C289" s="119"/>
      <c r="D289" s="119"/>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P289" s="101"/>
      <c r="AQ289" s="101"/>
      <c r="AR289" s="101"/>
      <c r="AS289" s="101"/>
      <c r="AT289" s="101"/>
      <c r="AU289" s="101"/>
      <c r="AV289" s="101"/>
      <c r="AW289" s="101"/>
      <c r="AX289" s="101"/>
      <c r="AY289" s="101"/>
      <c r="AZ289" s="101"/>
      <c r="BA289" s="101"/>
    </row>
    <row r="290" spans="1:53" s="97" customFormat="1" ht="15.75">
      <c r="A290" s="89"/>
      <c r="B290" s="118"/>
      <c r="C290" s="119"/>
      <c r="D290" s="119"/>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P290" s="101"/>
      <c r="AQ290" s="101"/>
      <c r="AR290" s="101"/>
      <c r="AS290" s="101"/>
      <c r="AT290" s="101"/>
      <c r="AU290" s="101"/>
      <c r="AV290" s="101"/>
      <c r="AW290" s="101"/>
      <c r="AX290" s="101"/>
      <c r="AY290" s="101"/>
      <c r="AZ290" s="101"/>
      <c r="BA290" s="101"/>
    </row>
    <row r="291" spans="1:53" s="97" customFormat="1" ht="15.75">
      <c r="A291" s="89"/>
      <c r="B291" s="118"/>
      <c r="C291" s="119"/>
      <c r="D291" s="119"/>
      <c r="E291" s="119"/>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P291" s="101"/>
      <c r="AQ291" s="101"/>
      <c r="AR291" s="101"/>
      <c r="AS291" s="101"/>
      <c r="AT291" s="101"/>
      <c r="AU291" s="101"/>
      <c r="AV291" s="101"/>
      <c r="AW291" s="101"/>
      <c r="AX291" s="101"/>
      <c r="AY291" s="101"/>
      <c r="AZ291" s="101"/>
      <c r="BA291" s="101"/>
    </row>
    <row r="292" spans="1:53" s="97" customFormat="1" ht="15.75">
      <c r="A292" s="89"/>
      <c r="B292" s="118"/>
      <c r="C292" s="119"/>
      <c r="D292" s="119"/>
      <c r="E292" s="119"/>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P292" s="101"/>
      <c r="AQ292" s="101"/>
      <c r="AR292" s="101"/>
      <c r="AS292" s="101"/>
      <c r="AT292" s="101"/>
      <c r="AU292" s="101"/>
      <c r="AV292" s="101"/>
      <c r="AW292" s="101"/>
      <c r="AX292" s="101"/>
      <c r="AY292" s="101"/>
      <c r="AZ292" s="101"/>
      <c r="BA292" s="101"/>
    </row>
    <row r="293" spans="1:53" s="97" customFormat="1" ht="15.75">
      <c r="A293" s="89"/>
      <c r="B293" s="118"/>
      <c r="C293" s="119"/>
      <c r="D293" s="119"/>
      <c r="E293" s="119"/>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P293" s="101"/>
      <c r="AQ293" s="101"/>
      <c r="AR293" s="101"/>
      <c r="AS293" s="101"/>
      <c r="AT293" s="101"/>
      <c r="AU293" s="101"/>
      <c r="AV293" s="101"/>
      <c r="AW293" s="101"/>
      <c r="AX293" s="101"/>
      <c r="AY293" s="101"/>
      <c r="AZ293" s="101"/>
      <c r="BA293" s="101"/>
    </row>
    <row r="294" spans="1:53" s="97" customFormat="1" ht="15.75">
      <c r="A294" s="89"/>
      <c r="B294" s="118"/>
      <c r="C294" s="119"/>
      <c r="D294" s="119"/>
      <c r="E294" s="119"/>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P294" s="101"/>
      <c r="AQ294" s="101"/>
      <c r="AR294" s="101"/>
      <c r="AS294" s="101"/>
      <c r="AT294" s="101"/>
      <c r="AU294" s="101"/>
      <c r="AV294" s="101"/>
      <c r="AW294" s="101"/>
      <c r="AX294" s="101"/>
      <c r="AY294" s="101"/>
      <c r="AZ294" s="101"/>
      <c r="BA294" s="101"/>
    </row>
    <row r="295" spans="1:53" s="97" customFormat="1" ht="15.75">
      <c r="A295" s="89"/>
      <c r="B295" s="118"/>
      <c r="C295" s="119"/>
      <c r="D295" s="119"/>
      <c r="E295" s="119"/>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P295" s="101"/>
      <c r="AQ295" s="101"/>
      <c r="AR295" s="101"/>
      <c r="AS295" s="101"/>
      <c r="AT295" s="101"/>
      <c r="AU295" s="101"/>
      <c r="AV295" s="101"/>
      <c r="AW295" s="101"/>
      <c r="AX295" s="101"/>
      <c r="AY295" s="101"/>
      <c r="AZ295" s="101"/>
      <c r="BA295" s="101"/>
    </row>
    <row r="296" spans="1:53" s="97" customFormat="1" ht="15.75">
      <c r="A296" s="89"/>
      <c r="B296" s="118"/>
      <c r="C296" s="119"/>
      <c r="D296" s="119"/>
      <c r="E296" s="119"/>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P296" s="101"/>
      <c r="AQ296" s="101"/>
      <c r="AR296" s="101"/>
      <c r="AS296" s="101"/>
      <c r="AT296" s="101"/>
      <c r="AU296" s="101"/>
      <c r="AV296" s="101"/>
      <c r="AW296" s="101"/>
      <c r="AX296" s="101"/>
      <c r="AY296" s="101"/>
      <c r="AZ296" s="101"/>
      <c r="BA296" s="101"/>
    </row>
    <row r="297" spans="1:53" s="97" customFormat="1" ht="15.75">
      <c r="A297" s="89"/>
      <c r="B297" s="118"/>
      <c r="C297" s="119"/>
      <c r="D297" s="119"/>
      <c r="E297" s="119"/>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P297" s="101"/>
      <c r="AQ297" s="101"/>
      <c r="AR297" s="101"/>
      <c r="AS297" s="101"/>
      <c r="AT297" s="101"/>
      <c r="AU297" s="101"/>
      <c r="AV297" s="101"/>
      <c r="AW297" s="101"/>
      <c r="AX297" s="101"/>
      <c r="AY297" s="101"/>
      <c r="AZ297" s="101"/>
      <c r="BA297" s="101"/>
    </row>
    <row r="298" spans="1:53" s="97" customFormat="1" ht="15.75">
      <c r="A298" s="89"/>
      <c r="B298" s="118"/>
      <c r="C298" s="119"/>
      <c r="D298" s="119"/>
      <c r="E298" s="119"/>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P298" s="101"/>
      <c r="AQ298" s="101"/>
      <c r="AR298" s="101"/>
      <c r="AS298" s="101"/>
      <c r="AT298" s="101"/>
      <c r="AU298" s="101"/>
      <c r="AV298" s="101"/>
      <c r="AW298" s="101"/>
      <c r="AX298" s="101"/>
      <c r="AY298" s="101"/>
      <c r="AZ298" s="101"/>
      <c r="BA298" s="101"/>
    </row>
    <row r="299" spans="1:53" s="97" customFormat="1" ht="15.75">
      <c r="A299" s="89"/>
      <c r="B299" s="118"/>
      <c r="C299" s="119"/>
      <c r="D299" s="119"/>
      <c r="E299" s="119"/>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P299" s="101"/>
      <c r="AQ299" s="101"/>
      <c r="AR299" s="101"/>
      <c r="AS299" s="101"/>
      <c r="AT299" s="101"/>
      <c r="AU299" s="101"/>
      <c r="AV299" s="101"/>
      <c r="AW299" s="101"/>
      <c r="AX299" s="101"/>
      <c r="AY299" s="101"/>
      <c r="AZ299" s="101"/>
      <c r="BA299" s="101"/>
    </row>
    <row r="300" spans="1:53" s="97" customFormat="1" ht="15.75">
      <c r="A300" s="89"/>
      <c r="B300" s="118"/>
      <c r="C300" s="119"/>
      <c r="D300" s="119"/>
      <c r="E300" s="119"/>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P300" s="101"/>
      <c r="AQ300" s="101"/>
      <c r="AR300" s="101"/>
      <c r="AS300" s="101"/>
      <c r="AT300" s="101"/>
      <c r="AU300" s="101"/>
      <c r="AV300" s="101"/>
      <c r="AW300" s="101"/>
      <c r="AX300" s="101"/>
      <c r="AY300" s="101"/>
      <c r="AZ300" s="101"/>
      <c r="BA300" s="101"/>
    </row>
    <row r="301" spans="1:53" s="97" customFormat="1" ht="15.75">
      <c r="A301" s="89"/>
      <c r="B301" s="118"/>
      <c r="C301" s="119"/>
      <c r="D301" s="119"/>
      <c r="E301" s="119"/>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P301" s="101"/>
      <c r="AQ301" s="101"/>
      <c r="AR301" s="101"/>
      <c r="AS301" s="101"/>
      <c r="AT301" s="101"/>
      <c r="AU301" s="101"/>
      <c r="AV301" s="101"/>
      <c r="AW301" s="101"/>
      <c r="AX301" s="101"/>
      <c r="AY301" s="101"/>
      <c r="AZ301" s="101"/>
      <c r="BA301" s="101"/>
    </row>
    <row r="302" spans="1:53" s="97" customFormat="1" ht="15.75">
      <c r="A302" s="89"/>
      <c r="B302" s="118"/>
      <c r="C302" s="119"/>
      <c r="D302" s="119"/>
      <c r="E302" s="119"/>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P302" s="101"/>
      <c r="AQ302" s="101"/>
      <c r="AR302" s="101"/>
      <c r="AS302" s="101"/>
      <c r="AT302" s="101"/>
      <c r="AU302" s="101"/>
      <c r="AV302" s="101"/>
      <c r="AW302" s="101"/>
      <c r="AX302" s="101"/>
      <c r="AY302" s="101"/>
      <c r="AZ302" s="101"/>
      <c r="BA302" s="101"/>
    </row>
    <row r="303" spans="1:53" s="97" customFormat="1" ht="15.75">
      <c r="A303" s="89"/>
      <c r="B303" s="118"/>
      <c r="C303" s="119"/>
      <c r="D303" s="119"/>
      <c r="E303" s="119"/>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P303" s="101"/>
      <c r="AQ303" s="101"/>
      <c r="AR303" s="101"/>
      <c r="AS303" s="101"/>
      <c r="AT303" s="101"/>
      <c r="AU303" s="101"/>
      <c r="AV303" s="101"/>
      <c r="AW303" s="101"/>
      <c r="AX303" s="101"/>
      <c r="AY303" s="101"/>
      <c r="AZ303" s="101"/>
      <c r="BA303" s="101"/>
    </row>
    <row r="304" spans="1:53" s="97" customFormat="1" ht="15.75">
      <c r="A304" s="89"/>
      <c r="B304" s="118"/>
      <c r="C304" s="119"/>
      <c r="D304" s="119"/>
      <c r="E304" s="119"/>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P304" s="101"/>
      <c r="AQ304" s="101"/>
      <c r="AR304" s="101"/>
      <c r="AS304" s="101"/>
      <c r="AT304" s="101"/>
      <c r="AU304" s="101"/>
      <c r="AV304" s="101"/>
      <c r="AW304" s="101"/>
      <c r="AX304" s="101"/>
      <c r="AY304" s="101"/>
      <c r="AZ304" s="101"/>
      <c r="BA304" s="101"/>
    </row>
    <row r="305" spans="1:53" s="97" customFormat="1" ht="15.75">
      <c r="A305" s="89"/>
      <c r="B305" s="118"/>
      <c r="C305" s="119"/>
      <c r="D305" s="119"/>
      <c r="E305" s="119"/>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P305" s="101"/>
      <c r="AQ305" s="101"/>
      <c r="AR305" s="101"/>
      <c r="AS305" s="101"/>
      <c r="AT305" s="101"/>
      <c r="AU305" s="101"/>
      <c r="AV305" s="101"/>
      <c r="AW305" s="101"/>
      <c r="AX305" s="101"/>
      <c r="AY305" s="101"/>
      <c r="AZ305" s="101"/>
      <c r="BA305" s="101"/>
    </row>
    <row r="306" spans="1:53" s="97" customFormat="1" ht="15.75">
      <c r="A306" s="89"/>
      <c r="B306" s="118"/>
      <c r="C306" s="119"/>
      <c r="D306" s="119"/>
      <c r="E306" s="119"/>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P306" s="101"/>
      <c r="AQ306" s="101"/>
      <c r="AR306" s="101"/>
      <c r="AS306" s="101"/>
      <c r="AT306" s="101"/>
      <c r="AU306" s="101"/>
      <c r="AV306" s="101"/>
      <c r="AW306" s="101"/>
      <c r="AX306" s="101"/>
      <c r="AY306" s="101"/>
      <c r="AZ306" s="101"/>
      <c r="BA306" s="101"/>
    </row>
    <row r="307" spans="1:53" s="97" customFormat="1" ht="15.75">
      <c r="A307" s="89"/>
      <c r="B307" s="118"/>
      <c r="C307" s="119"/>
      <c r="D307" s="119"/>
      <c r="E307" s="119"/>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P307" s="101"/>
      <c r="AQ307" s="101"/>
      <c r="AR307" s="101"/>
      <c r="AS307" s="101"/>
      <c r="AT307" s="101"/>
      <c r="AU307" s="101"/>
      <c r="AV307" s="101"/>
      <c r="AW307" s="101"/>
      <c r="AX307" s="101"/>
      <c r="AY307" s="101"/>
      <c r="AZ307" s="101"/>
      <c r="BA307" s="101"/>
    </row>
    <row r="308" spans="1:53" s="97" customFormat="1" ht="15.75">
      <c r="A308" s="89"/>
      <c r="B308" s="118"/>
      <c r="C308" s="119"/>
      <c r="D308" s="119"/>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P308" s="101"/>
      <c r="AQ308" s="101"/>
      <c r="AR308" s="101"/>
      <c r="AS308" s="101"/>
      <c r="AT308" s="101"/>
      <c r="AU308" s="101"/>
      <c r="AV308" s="101"/>
      <c r="AW308" s="101"/>
      <c r="AX308" s="101"/>
      <c r="AY308" s="101"/>
      <c r="AZ308" s="101"/>
      <c r="BA308" s="101"/>
    </row>
    <row r="309" spans="1:53" s="97" customFormat="1" ht="15.75">
      <c r="A309" s="89"/>
      <c r="B309" s="118"/>
      <c r="C309" s="119"/>
      <c r="D309" s="119"/>
      <c r="E309" s="119"/>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P309" s="101"/>
      <c r="AQ309" s="101"/>
      <c r="AR309" s="101"/>
      <c r="AS309" s="101"/>
      <c r="AT309" s="101"/>
      <c r="AU309" s="101"/>
      <c r="AV309" s="101"/>
      <c r="AW309" s="101"/>
      <c r="AX309" s="101"/>
      <c r="AY309" s="101"/>
      <c r="AZ309" s="101"/>
      <c r="BA309" s="101"/>
    </row>
    <row r="310" spans="1:53" s="97" customFormat="1" ht="15.75">
      <c r="A310" s="89"/>
      <c r="B310" s="118"/>
      <c r="C310" s="119"/>
      <c r="D310" s="119"/>
      <c r="E310" s="119"/>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P310" s="101"/>
      <c r="AQ310" s="101"/>
      <c r="AR310" s="101"/>
      <c r="AS310" s="101"/>
      <c r="AT310" s="101"/>
      <c r="AU310" s="101"/>
      <c r="AV310" s="101"/>
      <c r="AW310" s="101"/>
      <c r="AX310" s="101"/>
      <c r="AY310" s="101"/>
      <c r="AZ310" s="101"/>
      <c r="BA310" s="101"/>
    </row>
    <row r="311" spans="1:53" s="97" customFormat="1" ht="15.75">
      <c r="A311" s="89"/>
      <c r="B311" s="118"/>
      <c r="C311" s="119"/>
      <c r="D311" s="119"/>
      <c r="E311" s="119"/>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P311" s="101"/>
      <c r="AQ311" s="101"/>
      <c r="AR311" s="101"/>
      <c r="AS311" s="101"/>
      <c r="AT311" s="101"/>
      <c r="AU311" s="101"/>
      <c r="AV311" s="101"/>
      <c r="AW311" s="101"/>
      <c r="AX311" s="101"/>
      <c r="AY311" s="101"/>
      <c r="AZ311" s="101"/>
      <c r="BA311" s="101"/>
    </row>
    <row r="312" spans="1:53" s="97" customFormat="1" ht="15.75">
      <c r="A312" s="89"/>
      <c r="B312" s="118"/>
      <c r="C312" s="119"/>
      <c r="D312" s="119"/>
      <c r="E312" s="119"/>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P312" s="101"/>
      <c r="AQ312" s="101"/>
      <c r="AR312" s="101"/>
      <c r="AS312" s="101"/>
      <c r="AT312" s="101"/>
      <c r="AU312" s="101"/>
      <c r="AV312" s="101"/>
      <c r="AW312" s="101"/>
      <c r="AX312" s="101"/>
      <c r="AY312" s="101"/>
      <c r="AZ312" s="101"/>
      <c r="BA312" s="101"/>
    </row>
    <row r="313" spans="1:53" s="97" customFormat="1" ht="15.75">
      <c r="A313" s="89"/>
      <c r="B313" s="118"/>
      <c r="C313" s="119"/>
      <c r="D313" s="119"/>
      <c r="E313" s="119"/>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P313" s="101"/>
      <c r="AQ313" s="101"/>
      <c r="AR313" s="101"/>
      <c r="AS313" s="101"/>
      <c r="AT313" s="101"/>
      <c r="AU313" s="101"/>
      <c r="AV313" s="101"/>
      <c r="AW313" s="101"/>
      <c r="AX313" s="101"/>
      <c r="AY313" s="101"/>
      <c r="AZ313" s="101"/>
      <c r="BA313" s="101"/>
    </row>
    <row r="314" spans="1:53" s="97" customFormat="1" ht="15.75">
      <c r="A314" s="89"/>
      <c r="B314" s="118"/>
      <c r="C314" s="119"/>
      <c r="D314" s="119"/>
      <c r="E314" s="119"/>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P314" s="101"/>
      <c r="AQ314" s="101"/>
      <c r="AR314" s="101"/>
      <c r="AS314" s="101"/>
      <c r="AT314" s="101"/>
      <c r="AU314" s="101"/>
      <c r="AV314" s="101"/>
      <c r="AW314" s="101"/>
      <c r="AX314" s="101"/>
      <c r="AY314" s="101"/>
      <c r="AZ314" s="101"/>
      <c r="BA314" s="101"/>
    </row>
    <row r="315" spans="1:53" s="97" customFormat="1" ht="15.75">
      <c r="A315" s="89"/>
      <c r="B315" s="118"/>
      <c r="C315" s="119"/>
      <c r="D315" s="119"/>
      <c r="E315" s="119"/>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P315" s="101"/>
      <c r="AQ315" s="101"/>
      <c r="AR315" s="101"/>
      <c r="AS315" s="101"/>
      <c r="AT315" s="101"/>
      <c r="AU315" s="101"/>
      <c r="AV315" s="101"/>
      <c r="AW315" s="101"/>
      <c r="AX315" s="101"/>
      <c r="AY315" s="101"/>
      <c r="AZ315" s="101"/>
      <c r="BA315" s="101"/>
    </row>
    <row r="316" spans="1:53" s="97" customFormat="1" ht="15.75">
      <c r="A316" s="89"/>
      <c r="B316" s="118"/>
      <c r="C316" s="119"/>
      <c r="D316" s="119"/>
      <c r="E316" s="119"/>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P316" s="101"/>
      <c r="AQ316" s="101"/>
      <c r="AR316" s="101"/>
      <c r="AS316" s="101"/>
      <c r="AT316" s="101"/>
      <c r="AU316" s="101"/>
      <c r="AV316" s="101"/>
      <c r="AW316" s="101"/>
      <c r="AX316" s="101"/>
      <c r="AY316" s="101"/>
      <c r="AZ316" s="101"/>
      <c r="BA316" s="101"/>
    </row>
    <row r="317" spans="1:53" s="97" customFormat="1" ht="15.75">
      <c r="A317" s="89"/>
      <c r="B317" s="118"/>
      <c r="C317" s="119"/>
      <c r="D317" s="119"/>
      <c r="E317" s="119"/>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P317" s="101"/>
      <c r="AQ317" s="101"/>
      <c r="AR317" s="101"/>
      <c r="AS317" s="101"/>
      <c r="AT317" s="101"/>
      <c r="AU317" s="101"/>
      <c r="AV317" s="101"/>
      <c r="AW317" s="101"/>
      <c r="AX317" s="101"/>
      <c r="AY317" s="101"/>
      <c r="AZ317" s="101"/>
      <c r="BA317" s="101"/>
    </row>
    <row r="318" spans="1:53" s="97" customFormat="1" ht="15.75">
      <c r="A318" s="89"/>
      <c r="B318" s="118"/>
      <c r="C318" s="119"/>
      <c r="D318" s="119"/>
      <c r="E318" s="119"/>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P318" s="101"/>
      <c r="AQ318" s="101"/>
      <c r="AR318" s="101"/>
      <c r="AS318" s="101"/>
      <c r="AT318" s="101"/>
      <c r="AU318" s="101"/>
      <c r="AV318" s="101"/>
      <c r="AW318" s="101"/>
      <c r="AX318" s="101"/>
      <c r="AY318" s="101"/>
      <c r="AZ318" s="101"/>
      <c r="BA318" s="101"/>
    </row>
    <row r="319" spans="1:53" s="97" customFormat="1" ht="15.75">
      <c r="A319" s="89"/>
      <c r="B319" s="118"/>
      <c r="C319" s="119"/>
      <c r="D319" s="119"/>
      <c r="E319" s="119"/>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P319" s="101"/>
      <c r="AQ319" s="101"/>
      <c r="AR319" s="101"/>
      <c r="AS319" s="101"/>
      <c r="AT319" s="101"/>
      <c r="AU319" s="101"/>
      <c r="AV319" s="101"/>
      <c r="AW319" s="101"/>
      <c r="AX319" s="101"/>
      <c r="AY319" s="101"/>
      <c r="AZ319" s="101"/>
      <c r="BA319" s="101"/>
    </row>
    <row r="320" spans="1:53" s="97" customFormat="1" ht="15.75">
      <c r="A320" s="89"/>
      <c r="B320" s="118"/>
      <c r="C320" s="119"/>
      <c r="D320" s="119"/>
      <c r="E320" s="119"/>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P320" s="101"/>
      <c r="AQ320" s="101"/>
      <c r="AR320" s="101"/>
      <c r="AS320" s="101"/>
      <c r="AT320" s="101"/>
      <c r="AU320" s="101"/>
      <c r="AV320" s="101"/>
      <c r="AW320" s="101"/>
      <c r="AX320" s="101"/>
      <c r="AY320" s="101"/>
      <c r="AZ320" s="101"/>
      <c r="BA320" s="101"/>
    </row>
    <row r="321" spans="1:53" s="97" customFormat="1" ht="15.75">
      <c r="A321" s="89"/>
      <c r="B321" s="118"/>
      <c r="C321" s="119"/>
      <c r="D321" s="119"/>
      <c r="E321" s="119"/>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P321" s="101"/>
      <c r="AQ321" s="101"/>
      <c r="AR321" s="101"/>
      <c r="AS321" s="101"/>
      <c r="AT321" s="101"/>
      <c r="AU321" s="101"/>
      <c r="AV321" s="101"/>
      <c r="AW321" s="101"/>
      <c r="AX321" s="101"/>
      <c r="AY321" s="101"/>
      <c r="AZ321" s="101"/>
      <c r="BA321" s="101"/>
    </row>
    <row r="322" spans="1:53" s="97" customFormat="1" ht="15.75">
      <c r="A322" s="89"/>
      <c r="B322" s="118"/>
      <c r="C322" s="119"/>
      <c r="D322" s="119"/>
      <c r="E322" s="119"/>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P322" s="101"/>
      <c r="AQ322" s="101"/>
      <c r="AR322" s="101"/>
      <c r="AS322" s="101"/>
      <c r="AT322" s="101"/>
      <c r="AU322" s="101"/>
      <c r="AV322" s="101"/>
      <c r="AW322" s="101"/>
      <c r="AX322" s="101"/>
      <c r="AY322" s="101"/>
      <c r="AZ322" s="101"/>
      <c r="BA322" s="101"/>
    </row>
    <row r="323" spans="1:53" s="97" customFormat="1" ht="15.75">
      <c r="A323" s="89"/>
      <c r="B323" s="118"/>
      <c r="C323" s="119"/>
      <c r="D323" s="119"/>
      <c r="E323" s="119"/>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P323" s="101"/>
      <c r="AQ323" s="101"/>
      <c r="AR323" s="101"/>
      <c r="AS323" s="101"/>
      <c r="AT323" s="101"/>
      <c r="AU323" s="101"/>
      <c r="AV323" s="101"/>
      <c r="AW323" s="101"/>
      <c r="AX323" s="101"/>
      <c r="AY323" s="101"/>
      <c r="AZ323" s="101"/>
      <c r="BA323" s="101"/>
    </row>
    <row r="324" spans="1:53" s="97" customFormat="1" ht="15.75">
      <c r="A324" s="89"/>
      <c r="B324" s="118"/>
      <c r="C324" s="119"/>
      <c r="D324" s="119"/>
      <c r="E324" s="119"/>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P324" s="101"/>
      <c r="AQ324" s="101"/>
      <c r="AR324" s="101"/>
      <c r="AS324" s="101"/>
      <c r="AT324" s="101"/>
      <c r="AU324" s="101"/>
      <c r="AV324" s="101"/>
      <c r="AW324" s="101"/>
      <c r="AX324" s="101"/>
      <c r="AY324" s="101"/>
      <c r="AZ324" s="101"/>
      <c r="BA324" s="101"/>
    </row>
    <row r="325" spans="1:53" s="97" customFormat="1" ht="15.75">
      <c r="A325" s="89"/>
      <c r="B325" s="118"/>
      <c r="C325" s="119"/>
      <c r="D325" s="119"/>
      <c r="E325" s="119"/>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P325" s="101"/>
      <c r="AQ325" s="101"/>
      <c r="AR325" s="101"/>
      <c r="AS325" s="101"/>
      <c r="AT325" s="101"/>
      <c r="AU325" s="101"/>
      <c r="AV325" s="101"/>
      <c r="AW325" s="101"/>
      <c r="AX325" s="101"/>
      <c r="AY325" s="101"/>
      <c r="AZ325" s="101"/>
      <c r="BA325" s="101"/>
    </row>
    <row r="326" spans="1:53" s="97" customFormat="1" ht="15.75">
      <c r="A326" s="89"/>
      <c r="B326" s="118"/>
      <c r="C326" s="119"/>
      <c r="D326" s="119"/>
      <c r="E326" s="119"/>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P326" s="101"/>
      <c r="AQ326" s="101"/>
      <c r="AR326" s="101"/>
      <c r="AS326" s="101"/>
      <c r="AT326" s="101"/>
      <c r="AU326" s="101"/>
      <c r="AV326" s="101"/>
      <c r="AW326" s="101"/>
      <c r="AX326" s="101"/>
      <c r="AY326" s="101"/>
      <c r="AZ326" s="101"/>
      <c r="BA326" s="101"/>
    </row>
    <row r="327" spans="1:53" s="97" customFormat="1" ht="15.75">
      <c r="A327" s="89"/>
      <c r="B327" s="118"/>
      <c r="C327" s="119"/>
      <c r="D327" s="119"/>
      <c r="E327" s="119"/>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P327" s="101"/>
      <c r="AQ327" s="101"/>
      <c r="AR327" s="101"/>
      <c r="AS327" s="101"/>
      <c r="AT327" s="101"/>
      <c r="AU327" s="101"/>
      <c r="AV327" s="101"/>
      <c r="AW327" s="101"/>
      <c r="AX327" s="101"/>
      <c r="AY327" s="101"/>
      <c r="AZ327" s="101"/>
      <c r="BA327" s="101"/>
    </row>
    <row r="328" spans="1:53" s="97" customFormat="1" ht="15.75">
      <c r="A328" s="89"/>
      <c r="B328" s="118"/>
      <c r="C328" s="119"/>
      <c r="D328" s="119"/>
      <c r="E328" s="119"/>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P328" s="101"/>
      <c r="AQ328" s="101"/>
      <c r="AR328" s="101"/>
      <c r="AS328" s="101"/>
      <c r="AT328" s="101"/>
      <c r="AU328" s="101"/>
      <c r="AV328" s="101"/>
      <c r="AW328" s="101"/>
      <c r="AX328" s="101"/>
      <c r="AY328" s="101"/>
      <c r="AZ328" s="101"/>
      <c r="BA328" s="101"/>
    </row>
    <row r="329" spans="1:53" s="97" customFormat="1" ht="15.75">
      <c r="A329" s="89"/>
      <c r="B329" s="118"/>
      <c r="C329" s="119"/>
      <c r="D329" s="119"/>
      <c r="E329" s="119"/>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P329" s="101"/>
      <c r="AQ329" s="101"/>
      <c r="AR329" s="101"/>
      <c r="AS329" s="101"/>
      <c r="AT329" s="101"/>
      <c r="AU329" s="101"/>
      <c r="AV329" s="101"/>
      <c r="AW329" s="101"/>
      <c r="AX329" s="101"/>
      <c r="AY329" s="101"/>
      <c r="AZ329" s="101"/>
      <c r="BA329" s="101"/>
    </row>
    <row r="330" spans="1:53" s="97" customFormat="1" ht="15.75">
      <c r="A330" s="89"/>
      <c r="B330" s="118"/>
      <c r="C330" s="119"/>
      <c r="D330" s="119"/>
      <c r="E330" s="119"/>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P330" s="101"/>
      <c r="AQ330" s="101"/>
      <c r="AR330" s="101"/>
      <c r="AS330" s="101"/>
      <c r="AT330" s="101"/>
      <c r="AU330" s="101"/>
      <c r="AV330" s="101"/>
      <c r="AW330" s="101"/>
      <c r="AX330" s="101"/>
      <c r="AY330" s="101"/>
      <c r="AZ330" s="101"/>
      <c r="BA330" s="101"/>
    </row>
    <row r="331" spans="1:53" s="97" customFormat="1" ht="15.75">
      <c r="A331" s="89"/>
      <c r="B331" s="118"/>
      <c r="C331" s="119"/>
      <c r="D331" s="119"/>
      <c r="E331" s="119"/>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P331" s="101"/>
      <c r="AQ331" s="101"/>
      <c r="AR331" s="101"/>
      <c r="AS331" s="101"/>
      <c r="AT331" s="101"/>
      <c r="AU331" s="101"/>
      <c r="AV331" s="101"/>
      <c r="AW331" s="101"/>
      <c r="AX331" s="101"/>
      <c r="AY331" s="101"/>
      <c r="AZ331" s="101"/>
      <c r="BA331" s="101"/>
    </row>
    <row r="332" spans="1:53" s="97" customFormat="1" ht="15.75">
      <c r="A332" s="89"/>
      <c r="B332" s="118"/>
      <c r="C332" s="119"/>
      <c r="D332" s="119"/>
      <c r="E332" s="119"/>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P332" s="101"/>
      <c r="AQ332" s="101"/>
      <c r="AR332" s="101"/>
      <c r="AS332" s="101"/>
      <c r="AT332" s="101"/>
      <c r="AU332" s="101"/>
      <c r="AV332" s="101"/>
      <c r="AW332" s="101"/>
      <c r="AX332" s="101"/>
      <c r="AY332" s="101"/>
      <c r="AZ332" s="101"/>
      <c r="BA332" s="101"/>
    </row>
    <row r="333" spans="1:53" s="97" customFormat="1" ht="15.75">
      <c r="A333" s="89"/>
      <c r="B333" s="118"/>
      <c r="C333" s="119"/>
      <c r="D333" s="119"/>
      <c r="E333" s="119"/>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P333" s="101"/>
      <c r="AQ333" s="101"/>
      <c r="AR333" s="101"/>
      <c r="AS333" s="101"/>
      <c r="AT333" s="101"/>
      <c r="AU333" s="101"/>
      <c r="AV333" s="101"/>
      <c r="AW333" s="101"/>
      <c r="AX333" s="101"/>
      <c r="AY333" s="101"/>
      <c r="AZ333" s="101"/>
      <c r="BA333" s="101"/>
    </row>
    <row r="334" spans="1:53" s="97" customFormat="1" ht="15.75">
      <c r="A334" s="89"/>
      <c r="B334" s="118"/>
      <c r="C334" s="119"/>
      <c r="D334" s="119"/>
      <c r="E334" s="119"/>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P334" s="101"/>
      <c r="AQ334" s="101"/>
      <c r="AR334" s="101"/>
      <c r="AS334" s="101"/>
      <c r="AT334" s="101"/>
      <c r="AU334" s="101"/>
      <c r="AV334" s="101"/>
      <c r="AW334" s="101"/>
      <c r="AX334" s="101"/>
      <c r="AY334" s="101"/>
      <c r="AZ334" s="101"/>
      <c r="BA334" s="101"/>
    </row>
    <row r="335" spans="1:53" s="97" customFormat="1" ht="15.75">
      <c r="A335" s="89"/>
      <c r="B335" s="118"/>
      <c r="C335" s="119"/>
      <c r="D335" s="119"/>
      <c r="E335" s="119"/>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P335" s="101"/>
      <c r="AQ335" s="101"/>
      <c r="AR335" s="101"/>
      <c r="AS335" s="101"/>
      <c r="AT335" s="101"/>
      <c r="AU335" s="101"/>
      <c r="AV335" s="101"/>
      <c r="AW335" s="101"/>
      <c r="AX335" s="101"/>
      <c r="AY335" s="101"/>
      <c r="AZ335" s="101"/>
      <c r="BA335" s="101"/>
    </row>
    <row r="336" spans="1:53" s="97" customFormat="1" ht="15.75">
      <c r="A336" s="89"/>
      <c r="B336" s="118"/>
      <c r="C336" s="119"/>
      <c r="D336" s="119"/>
      <c r="E336" s="119"/>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P336" s="101"/>
      <c r="AQ336" s="101"/>
      <c r="AR336" s="101"/>
      <c r="AS336" s="101"/>
      <c r="AT336" s="101"/>
      <c r="AU336" s="101"/>
      <c r="AV336" s="101"/>
      <c r="AW336" s="101"/>
      <c r="AX336" s="101"/>
      <c r="AY336" s="101"/>
      <c r="AZ336" s="101"/>
      <c r="BA336" s="101"/>
    </row>
    <row r="337" spans="1:53" s="97" customFormat="1" ht="15.75">
      <c r="A337" s="89"/>
      <c r="B337" s="118"/>
      <c r="C337" s="119"/>
      <c r="D337" s="119"/>
      <c r="E337" s="119"/>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P337" s="101"/>
      <c r="AQ337" s="101"/>
      <c r="AR337" s="101"/>
      <c r="AS337" s="101"/>
      <c r="AT337" s="101"/>
      <c r="AU337" s="101"/>
      <c r="AV337" s="101"/>
      <c r="AW337" s="101"/>
      <c r="AX337" s="101"/>
      <c r="AY337" s="101"/>
      <c r="AZ337" s="101"/>
      <c r="BA337" s="101"/>
    </row>
    <row r="338" spans="1:53" s="97" customFormat="1" ht="15.75">
      <c r="A338" s="89"/>
      <c r="B338" s="118"/>
      <c r="C338" s="119"/>
      <c r="D338" s="119"/>
      <c r="E338" s="119"/>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P338" s="101"/>
      <c r="AQ338" s="101"/>
      <c r="AR338" s="101"/>
      <c r="AS338" s="101"/>
      <c r="AT338" s="101"/>
      <c r="AU338" s="101"/>
      <c r="AV338" s="101"/>
      <c r="AW338" s="101"/>
      <c r="AX338" s="101"/>
      <c r="AY338" s="101"/>
      <c r="AZ338" s="101"/>
      <c r="BA338" s="101"/>
    </row>
    <row r="339" spans="1:53" s="97" customFormat="1" ht="15.75">
      <c r="A339" s="89"/>
      <c r="B339" s="118"/>
      <c r="C339" s="119"/>
      <c r="D339" s="119"/>
      <c r="E339" s="119"/>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P339" s="101"/>
      <c r="AQ339" s="101"/>
      <c r="AR339" s="101"/>
      <c r="AS339" s="101"/>
      <c r="AT339" s="101"/>
      <c r="AU339" s="101"/>
      <c r="AV339" s="101"/>
      <c r="AW339" s="101"/>
      <c r="AX339" s="101"/>
      <c r="AY339" s="101"/>
      <c r="AZ339" s="101"/>
      <c r="BA339" s="101"/>
    </row>
    <row r="340" spans="1:53" s="97" customFormat="1" ht="15.75">
      <c r="A340" s="89"/>
      <c r="B340" s="118"/>
      <c r="C340" s="119"/>
      <c r="D340" s="119"/>
      <c r="E340" s="119"/>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P340" s="101"/>
      <c r="AQ340" s="101"/>
      <c r="AR340" s="101"/>
      <c r="AS340" s="101"/>
      <c r="AT340" s="101"/>
      <c r="AU340" s="101"/>
      <c r="AV340" s="101"/>
      <c r="AW340" s="101"/>
      <c r="AX340" s="101"/>
      <c r="AY340" s="101"/>
      <c r="AZ340" s="101"/>
      <c r="BA340" s="101"/>
    </row>
    <row r="341" spans="1:53" s="97" customFormat="1" ht="15.75">
      <c r="A341" s="89"/>
      <c r="B341" s="118"/>
      <c r="C341" s="119"/>
      <c r="D341" s="119"/>
      <c r="E341" s="119"/>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P341" s="101"/>
      <c r="AQ341" s="101"/>
      <c r="AR341" s="101"/>
      <c r="AS341" s="101"/>
      <c r="AT341" s="101"/>
      <c r="AU341" s="101"/>
      <c r="AV341" s="101"/>
      <c r="AW341" s="101"/>
      <c r="AX341" s="101"/>
      <c r="AY341" s="101"/>
      <c r="AZ341" s="101"/>
      <c r="BA341" s="101"/>
    </row>
    <row r="342" spans="1:53" s="97" customFormat="1" ht="15.75">
      <c r="A342" s="89"/>
      <c r="B342" s="118"/>
      <c r="C342" s="119"/>
      <c r="D342" s="119"/>
      <c r="E342" s="119"/>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P342" s="101"/>
      <c r="AQ342" s="101"/>
      <c r="AR342" s="101"/>
      <c r="AS342" s="101"/>
      <c r="AT342" s="101"/>
      <c r="AU342" s="101"/>
      <c r="AV342" s="101"/>
      <c r="AW342" s="101"/>
      <c r="AX342" s="101"/>
      <c r="AY342" s="101"/>
      <c r="AZ342" s="101"/>
      <c r="BA342" s="101"/>
    </row>
    <row r="343" spans="1:53" s="97" customFormat="1" ht="15.75">
      <c r="A343" s="89"/>
      <c r="B343" s="118"/>
      <c r="C343" s="119"/>
      <c r="D343" s="119"/>
      <c r="E343" s="119"/>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P343" s="101"/>
      <c r="AQ343" s="101"/>
      <c r="AR343" s="101"/>
      <c r="AS343" s="101"/>
      <c r="AT343" s="101"/>
      <c r="AU343" s="101"/>
      <c r="AV343" s="101"/>
      <c r="AW343" s="101"/>
      <c r="AX343" s="101"/>
      <c r="AY343" s="101"/>
      <c r="AZ343" s="101"/>
      <c r="BA343" s="101"/>
    </row>
    <row r="344" spans="1:53" s="97" customFormat="1" ht="15.75">
      <c r="A344" s="89"/>
      <c r="B344" s="118"/>
      <c r="C344" s="119"/>
      <c r="D344" s="119"/>
      <c r="E344" s="119"/>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P344" s="101"/>
      <c r="AQ344" s="101"/>
      <c r="AR344" s="101"/>
      <c r="AS344" s="101"/>
      <c r="AT344" s="101"/>
      <c r="AU344" s="101"/>
      <c r="AV344" s="101"/>
      <c r="AW344" s="101"/>
      <c r="AX344" s="101"/>
      <c r="AY344" s="101"/>
      <c r="AZ344" s="101"/>
      <c r="BA344" s="101"/>
    </row>
    <row r="345" spans="1:53" s="97" customFormat="1" ht="15.75">
      <c r="A345" s="89"/>
      <c r="B345" s="118"/>
      <c r="C345" s="119"/>
      <c r="D345" s="119"/>
      <c r="E345" s="119"/>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P345" s="101"/>
      <c r="AQ345" s="101"/>
      <c r="AR345" s="101"/>
      <c r="AS345" s="101"/>
      <c r="AT345" s="101"/>
      <c r="AU345" s="101"/>
      <c r="AV345" s="101"/>
      <c r="AW345" s="101"/>
      <c r="AX345" s="101"/>
      <c r="AY345" s="101"/>
      <c r="AZ345" s="101"/>
      <c r="BA345" s="101"/>
    </row>
    <row r="346" spans="1:53" s="97" customFormat="1" ht="15.75">
      <c r="A346" s="89"/>
      <c r="B346" s="118"/>
      <c r="C346" s="119"/>
      <c r="D346" s="119"/>
      <c r="E346" s="119"/>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P346" s="101"/>
      <c r="AQ346" s="101"/>
      <c r="AR346" s="101"/>
      <c r="AS346" s="101"/>
      <c r="AT346" s="101"/>
      <c r="AU346" s="101"/>
      <c r="AV346" s="101"/>
      <c r="AW346" s="101"/>
      <c r="AX346" s="101"/>
      <c r="AY346" s="101"/>
      <c r="AZ346" s="101"/>
      <c r="BA346" s="101"/>
    </row>
    <row r="347" spans="1:53" s="97" customFormat="1" ht="15.75">
      <c r="A347" s="89"/>
      <c r="B347" s="118"/>
      <c r="C347" s="119"/>
      <c r="D347" s="119"/>
      <c r="E347" s="119"/>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P347" s="101"/>
      <c r="AQ347" s="101"/>
      <c r="AR347" s="101"/>
      <c r="AS347" s="101"/>
      <c r="AT347" s="101"/>
      <c r="AU347" s="101"/>
      <c r="AV347" s="101"/>
      <c r="AW347" s="101"/>
      <c r="AX347" s="101"/>
      <c r="AY347" s="101"/>
      <c r="AZ347" s="101"/>
      <c r="BA347" s="101"/>
    </row>
    <row r="348" spans="1:53" s="97" customFormat="1" ht="15.75">
      <c r="A348" s="89"/>
      <c r="B348" s="118"/>
      <c r="C348" s="119"/>
      <c r="D348" s="119"/>
      <c r="E348" s="119"/>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P348" s="101"/>
      <c r="AQ348" s="101"/>
      <c r="AR348" s="101"/>
      <c r="AS348" s="101"/>
      <c r="AT348" s="101"/>
      <c r="AU348" s="101"/>
      <c r="AV348" s="101"/>
      <c r="AW348" s="101"/>
      <c r="AX348" s="101"/>
      <c r="AY348" s="101"/>
      <c r="AZ348" s="101"/>
      <c r="BA348" s="101"/>
    </row>
    <row r="349" spans="1:53" s="97" customFormat="1" ht="15.75">
      <c r="A349" s="89"/>
      <c r="B349" s="118"/>
      <c r="C349" s="119"/>
      <c r="D349" s="119"/>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P349" s="101"/>
      <c r="AQ349" s="101"/>
      <c r="AR349" s="101"/>
      <c r="AS349" s="101"/>
      <c r="AT349" s="101"/>
      <c r="AU349" s="101"/>
      <c r="AV349" s="101"/>
      <c r="AW349" s="101"/>
      <c r="AX349" s="101"/>
      <c r="AY349" s="101"/>
      <c r="AZ349" s="101"/>
      <c r="BA349" s="101"/>
    </row>
    <row r="350" spans="1:53" s="97" customFormat="1" ht="15.75">
      <c r="A350" s="89"/>
      <c r="B350" s="118"/>
      <c r="C350" s="119"/>
      <c r="D350" s="119"/>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P350" s="101"/>
      <c r="AQ350" s="101"/>
      <c r="AR350" s="101"/>
      <c r="AS350" s="101"/>
      <c r="AT350" s="101"/>
      <c r="AU350" s="101"/>
      <c r="AV350" s="101"/>
      <c r="AW350" s="101"/>
      <c r="AX350" s="101"/>
      <c r="AY350" s="101"/>
      <c r="AZ350" s="101"/>
      <c r="BA350" s="101"/>
    </row>
    <row r="351" spans="1:53" s="97" customFormat="1" ht="15.75">
      <c r="A351" s="89"/>
      <c r="B351" s="118"/>
      <c r="C351" s="119"/>
      <c r="D351" s="119"/>
      <c r="E351" s="119"/>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P351" s="101"/>
      <c r="AQ351" s="101"/>
      <c r="AR351" s="101"/>
      <c r="AS351" s="101"/>
      <c r="AT351" s="101"/>
      <c r="AU351" s="101"/>
      <c r="AV351" s="101"/>
      <c r="AW351" s="101"/>
      <c r="AX351" s="101"/>
      <c r="AY351" s="101"/>
      <c r="AZ351" s="101"/>
      <c r="BA351" s="101"/>
    </row>
    <row r="352" spans="1:53" s="97" customFormat="1" ht="15.75">
      <c r="A352" s="89"/>
      <c r="B352" s="118"/>
      <c r="C352" s="119"/>
      <c r="D352" s="119"/>
      <c r="E352" s="119"/>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P352" s="101"/>
      <c r="AQ352" s="101"/>
      <c r="AR352" s="101"/>
      <c r="AS352" s="101"/>
      <c r="AT352" s="101"/>
      <c r="AU352" s="101"/>
      <c r="AV352" s="101"/>
      <c r="AW352" s="101"/>
      <c r="AX352" s="101"/>
      <c r="AY352" s="101"/>
      <c r="AZ352" s="101"/>
      <c r="BA352" s="101"/>
    </row>
    <row r="353" spans="1:53" s="97" customFormat="1" ht="15.75">
      <c r="A353" s="89"/>
      <c r="B353" s="118"/>
      <c r="C353" s="119"/>
      <c r="D353" s="119"/>
      <c r="E353" s="119"/>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P353" s="101"/>
      <c r="AQ353" s="101"/>
      <c r="AR353" s="101"/>
      <c r="AS353" s="101"/>
      <c r="AT353" s="101"/>
      <c r="AU353" s="101"/>
      <c r="AV353" s="101"/>
      <c r="AW353" s="101"/>
      <c r="AX353" s="101"/>
      <c r="AY353" s="101"/>
      <c r="AZ353" s="101"/>
      <c r="BA353" s="101"/>
    </row>
    <row r="354" spans="1:53" s="97" customFormat="1" ht="15.75">
      <c r="A354" s="89"/>
      <c r="B354" s="118"/>
      <c r="C354" s="119"/>
      <c r="D354" s="119"/>
      <c r="E354" s="119"/>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P354" s="101"/>
      <c r="AQ354" s="101"/>
      <c r="AR354" s="101"/>
      <c r="AS354" s="101"/>
      <c r="AT354" s="101"/>
      <c r="AU354" s="101"/>
      <c r="AV354" s="101"/>
      <c r="AW354" s="101"/>
      <c r="AX354" s="101"/>
      <c r="AY354" s="101"/>
      <c r="AZ354" s="101"/>
      <c r="BA354" s="101"/>
    </row>
    <row r="355" spans="1:53" s="97" customFormat="1" ht="15.75">
      <c r="A355" s="89"/>
      <c r="B355" s="118"/>
      <c r="C355" s="119"/>
      <c r="D355" s="119"/>
      <c r="E355" s="119"/>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P355" s="101"/>
      <c r="AQ355" s="101"/>
      <c r="AR355" s="101"/>
      <c r="AS355" s="101"/>
      <c r="AT355" s="101"/>
      <c r="AU355" s="101"/>
      <c r="AV355" s="101"/>
      <c r="AW355" s="101"/>
      <c r="AX355" s="101"/>
      <c r="AY355" s="101"/>
      <c r="AZ355" s="101"/>
      <c r="BA355" s="101"/>
    </row>
    <row r="356" spans="1:53" s="97" customFormat="1" ht="15.75">
      <c r="A356" s="89"/>
      <c r="B356" s="118"/>
      <c r="C356" s="119"/>
      <c r="D356" s="119"/>
      <c r="E356" s="119"/>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P356" s="101"/>
      <c r="AQ356" s="101"/>
      <c r="AR356" s="101"/>
      <c r="AS356" s="101"/>
      <c r="AT356" s="101"/>
      <c r="AU356" s="101"/>
      <c r="AV356" s="101"/>
      <c r="AW356" s="101"/>
      <c r="AX356" s="101"/>
      <c r="AY356" s="101"/>
      <c r="AZ356" s="101"/>
      <c r="BA356" s="101"/>
    </row>
    <row r="357" spans="1:53" s="97" customFormat="1" ht="15.75">
      <c r="A357" s="89"/>
      <c r="B357" s="118"/>
      <c r="C357" s="119"/>
      <c r="D357" s="119"/>
      <c r="E357" s="119"/>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P357" s="101"/>
      <c r="AQ357" s="101"/>
      <c r="AR357" s="101"/>
      <c r="AS357" s="101"/>
      <c r="AT357" s="101"/>
      <c r="AU357" s="101"/>
      <c r="AV357" s="101"/>
      <c r="AW357" s="101"/>
      <c r="AX357" s="101"/>
      <c r="AY357" s="101"/>
      <c r="AZ357" s="101"/>
      <c r="BA357" s="101"/>
    </row>
    <row r="358" spans="1:53" s="97" customFormat="1" ht="15.75">
      <c r="A358" s="89"/>
      <c r="B358" s="118"/>
      <c r="C358" s="119"/>
      <c r="D358" s="119"/>
      <c r="E358" s="119"/>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P358" s="101"/>
      <c r="AQ358" s="101"/>
      <c r="AR358" s="101"/>
      <c r="AS358" s="101"/>
      <c r="AT358" s="101"/>
      <c r="AU358" s="101"/>
      <c r="AV358" s="101"/>
      <c r="AW358" s="101"/>
      <c r="AX358" s="101"/>
      <c r="AY358" s="101"/>
      <c r="AZ358" s="101"/>
      <c r="BA358" s="101"/>
    </row>
    <row r="359" spans="1:53" s="97" customFormat="1" ht="15.75">
      <c r="A359" s="89"/>
      <c r="B359" s="118"/>
      <c r="C359" s="119"/>
      <c r="D359" s="119"/>
      <c r="E359" s="119"/>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P359" s="101"/>
      <c r="AQ359" s="101"/>
      <c r="AR359" s="101"/>
      <c r="AS359" s="101"/>
      <c r="AT359" s="101"/>
      <c r="AU359" s="101"/>
      <c r="AV359" s="101"/>
      <c r="AW359" s="101"/>
      <c r="AX359" s="101"/>
      <c r="AY359" s="101"/>
      <c r="AZ359" s="101"/>
      <c r="BA359" s="101"/>
    </row>
    <row r="360" spans="1:53" s="97" customFormat="1" ht="15.75">
      <c r="A360" s="89"/>
      <c r="B360" s="118"/>
      <c r="C360" s="119"/>
      <c r="D360" s="119"/>
      <c r="E360" s="119"/>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P360" s="101"/>
      <c r="AQ360" s="101"/>
      <c r="AR360" s="101"/>
      <c r="AS360" s="101"/>
      <c r="AT360" s="101"/>
      <c r="AU360" s="101"/>
      <c r="AV360" s="101"/>
      <c r="AW360" s="101"/>
      <c r="AX360" s="101"/>
      <c r="AY360" s="101"/>
      <c r="AZ360" s="101"/>
      <c r="BA360" s="101"/>
    </row>
    <row r="361" spans="1:53" s="97" customFormat="1" ht="15.75">
      <c r="A361" s="89"/>
      <c r="B361" s="118"/>
      <c r="C361" s="119"/>
      <c r="D361" s="119"/>
      <c r="E361" s="119"/>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P361" s="101"/>
      <c r="AQ361" s="101"/>
      <c r="AR361" s="101"/>
      <c r="AS361" s="101"/>
      <c r="AT361" s="101"/>
      <c r="AU361" s="101"/>
      <c r="AV361" s="101"/>
      <c r="AW361" s="101"/>
      <c r="AX361" s="101"/>
      <c r="AY361" s="101"/>
      <c r="AZ361" s="101"/>
      <c r="BA361" s="101"/>
    </row>
    <row r="362" spans="1:53" s="97" customFormat="1" ht="15.75">
      <c r="A362" s="89"/>
      <c r="B362" s="118"/>
      <c r="C362" s="119"/>
      <c r="D362" s="119"/>
      <c r="E362" s="119"/>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P362" s="101"/>
      <c r="AQ362" s="101"/>
      <c r="AR362" s="101"/>
      <c r="AS362" s="101"/>
      <c r="AT362" s="101"/>
      <c r="AU362" s="101"/>
      <c r="AV362" s="101"/>
      <c r="AW362" s="101"/>
      <c r="AX362" s="101"/>
      <c r="AY362" s="101"/>
      <c r="AZ362" s="101"/>
      <c r="BA362" s="101"/>
    </row>
    <row r="363" spans="1:53" s="97" customFormat="1" ht="15.75">
      <c r="A363" s="89"/>
      <c r="B363" s="118"/>
      <c r="C363" s="119"/>
      <c r="D363" s="119"/>
      <c r="E363" s="119"/>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P363" s="101"/>
      <c r="AQ363" s="101"/>
      <c r="AR363" s="101"/>
      <c r="AS363" s="101"/>
      <c r="AT363" s="101"/>
      <c r="AU363" s="101"/>
      <c r="AV363" s="101"/>
      <c r="AW363" s="101"/>
      <c r="AX363" s="101"/>
      <c r="AY363" s="101"/>
      <c r="AZ363" s="101"/>
      <c r="BA363" s="101"/>
    </row>
    <row r="364" spans="1:53" s="97" customFormat="1" ht="15.75">
      <c r="A364" s="89"/>
      <c r="B364" s="118"/>
      <c r="C364" s="119"/>
      <c r="D364" s="119"/>
      <c r="E364" s="119"/>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P364" s="101"/>
      <c r="AQ364" s="101"/>
      <c r="AR364" s="101"/>
      <c r="AS364" s="101"/>
      <c r="AT364" s="101"/>
      <c r="AU364" s="101"/>
      <c r="AV364" s="101"/>
      <c r="AW364" s="101"/>
      <c r="AX364" s="101"/>
      <c r="AY364" s="101"/>
      <c r="AZ364" s="101"/>
      <c r="BA364" s="101"/>
    </row>
    <row r="365" spans="1:53" s="97" customFormat="1" ht="15.75">
      <c r="A365" s="89"/>
      <c r="B365" s="118"/>
      <c r="C365" s="119"/>
      <c r="D365" s="119"/>
      <c r="E365" s="119"/>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P365" s="101"/>
      <c r="AQ365" s="101"/>
      <c r="AR365" s="101"/>
      <c r="AS365" s="101"/>
      <c r="AT365" s="101"/>
      <c r="AU365" s="101"/>
      <c r="AV365" s="101"/>
      <c r="AW365" s="101"/>
      <c r="AX365" s="101"/>
      <c r="AY365" s="101"/>
      <c r="AZ365" s="101"/>
      <c r="BA365" s="101"/>
    </row>
    <row r="366" spans="1:53" s="97" customFormat="1" ht="15.75">
      <c r="A366" s="89"/>
      <c r="B366" s="118"/>
      <c r="C366" s="119"/>
      <c r="D366" s="119"/>
      <c r="E366" s="119"/>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P366" s="101"/>
      <c r="AQ366" s="101"/>
      <c r="AR366" s="101"/>
      <c r="AS366" s="101"/>
      <c r="AT366" s="101"/>
      <c r="AU366" s="101"/>
      <c r="AV366" s="101"/>
      <c r="AW366" s="101"/>
      <c r="AX366" s="101"/>
      <c r="AY366" s="101"/>
      <c r="AZ366" s="101"/>
      <c r="BA366" s="101"/>
    </row>
    <row r="367" spans="1:53" s="97" customFormat="1" ht="15.75">
      <c r="A367" s="89"/>
      <c r="B367" s="118"/>
      <c r="C367" s="119"/>
      <c r="D367" s="119"/>
      <c r="E367" s="119"/>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P367" s="101"/>
      <c r="AQ367" s="101"/>
      <c r="AR367" s="101"/>
      <c r="AS367" s="101"/>
      <c r="AT367" s="101"/>
      <c r="AU367" s="101"/>
      <c r="AV367" s="101"/>
      <c r="AW367" s="101"/>
      <c r="AX367" s="101"/>
      <c r="AY367" s="101"/>
      <c r="AZ367" s="101"/>
      <c r="BA367" s="101"/>
    </row>
    <row r="368" spans="1:53" s="97" customFormat="1" ht="15.75">
      <c r="A368" s="89"/>
      <c r="B368" s="118"/>
      <c r="C368" s="119"/>
      <c r="D368" s="119"/>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P368" s="101"/>
      <c r="AQ368" s="101"/>
      <c r="AR368" s="101"/>
      <c r="AS368" s="101"/>
      <c r="AT368" s="101"/>
      <c r="AU368" s="101"/>
      <c r="AV368" s="101"/>
      <c r="AW368" s="101"/>
      <c r="AX368" s="101"/>
      <c r="AY368" s="101"/>
      <c r="AZ368" s="101"/>
      <c r="BA368" s="101"/>
    </row>
    <row r="369" spans="1:53" s="97" customFormat="1" ht="15.75">
      <c r="A369" s="89"/>
      <c r="B369" s="118"/>
      <c r="C369" s="119"/>
      <c r="D369" s="119"/>
      <c r="E369" s="11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P369" s="101"/>
      <c r="AQ369" s="101"/>
      <c r="AR369" s="101"/>
      <c r="AS369" s="101"/>
      <c r="AT369" s="101"/>
      <c r="AU369" s="101"/>
      <c r="AV369" s="101"/>
      <c r="AW369" s="101"/>
      <c r="AX369" s="101"/>
      <c r="AY369" s="101"/>
      <c r="AZ369" s="101"/>
      <c r="BA369" s="101"/>
    </row>
    <row r="370" spans="1:53" s="97" customFormat="1" ht="15.75">
      <c r="A370" s="89"/>
      <c r="B370" s="118"/>
      <c r="C370" s="119"/>
      <c r="D370" s="119"/>
      <c r="E370" s="119"/>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P370" s="101"/>
      <c r="AQ370" s="101"/>
      <c r="AR370" s="101"/>
      <c r="AS370" s="101"/>
      <c r="AT370" s="101"/>
      <c r="AU370" s="101"/>
      <c r="AV370" s="101"/>
      <c r="AW370" s="101"/>
      <c r="AX370" s="101"/>
      <c r="AY370" s="101"/>
      <c r="AZ370" s="101"/>
      <c r="BA370" s="101"/>
    </row>
    <row r="371" spans="1:53" s="97" customFormat="1" ht="15.75">
      <c r="A371" s="89"/>
      <c r="B371" s="118"/>
      <c r="C371" s="119"/>
      <c r="D371" s="119"/>
      <c r="E371" s="119"/>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P371" s="101"/>
      <c r="AQ371" s="101"/>
      <c r="AR371" s="101"/>
      <c r="AS371" s="101"/>
      <c r="AT371" s="101"/>
      <c r="AU371" s="101"/>
      <c r="AV371" s="101"/>
      <c r="AW371" s="101"/>
      <c r="AX371" s="101"/>
      <c r="AY371" s="101"/>
      <c r="AZ371" s="101"/>
      <c r="BA371" s="101"/>
    </row>
    <row r="372" spans="1:53" s="97" customFormat="1" ht="15.75">
      <c r="A372" s="89"/>
      <c r="B372" s="118"/>
      <c r="C372" s="119"/>
      <c r="D372" s="119"/>
      <c r="E372" s="119"/>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P372" s="101"/>
      <c r="AQ372" s="101"/>
      <c r="AR372" s="101"/>
      <c r="AS372" s="101"/>
      <c r="AT372" s="101"/>
      <c r="AU372" s="101"/>
      <c r="AV372" s="101"/>
      <c r="AW372" s="101"/>
      <c r="AX372" s="101"/>
      <c r="AY372" s="101"/>
      <c r="AZ372" s="101"/>
      <c r="BA372" s="101"/>
    </row>
    <row r="373" spans="1:53" s="97" customFormat="1" ht="15.75">
      <c r="A373" s="89"/>
      <c r="B373" s="118"/>
      <c r="C373" s="119"/>
      <c r="D373" s="119"/>
      <c r="E373" s="119"/>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P373" s="101"/>
      <c r="AQ373" s="101"/>
      <c r="AR373" s="101"/>
      <c r="AS373" s="101"/>
      <c r="AT373" s="101"/>
      <c r="AU373" s="101"/>
      <c r="AV373" s="101"/>
      <c r="AW373" s="101"/>
      <c r="AX373" s="101"/>
      <c r="AY373" s="101"/>
      <c r="AZ373" s="101"/>
      <c r="BA373" s="101"/>
    </row>
    <row r="374" spans="1:53" s="97" customFormat="1" ht="15.75">
      <c r="A374" s="89"/>
      <c r="B374" s="118"/>
      <c r="C374" s="119"/>
      <c r="D374" s="119"/>
      <c r="E374" s="119"/>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P374" s="101"/>
      <c r="AQ374" s="101"/>
      <c r="AR374" s="101"/>
      <c r="AS374" s="101"/>
      <c r="AT374" s="101"/>
      <c r="AU374" s="101"/>
      <c r="AV374" s="101"/>
      <c r="AW374" s="101"/>
      <c r="AX374" s="101"/>
      <c r="AY374" s="101"/>
      <c r="AZ374" s="101"/>
      <c r="BA374" s="101"/>
    </row>
    <row r="375" spans="1:53" s="97" customFormat="1" ht="15.75">
      <c r="A375" s="89"/>
      <c r="B375" s="118"/>
      <c r="C375" s="119"/>
      <c r="D375" s="119"/>
      <c r="E375" s="119"/>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P375" s="101"/>
      <c r="AQ375" s="101"/>
      <c r="AR375" s="101"/>
      <c r="AS375" s="101"/>
      <c r="AT375" s="101"/>
      <c r="AU375" s="101"/>
      <c r="AV375" s="101"/>
      <c r="AW375" s="101"/>
      <c r="AX375" s="101"/>
      <c r="AY375" s="101"/>
      <c r="AZ375" s="101"/>
      <c r="BA375" s="101"/>
    </row>
    <row r="376" spans="1:53" s="97" customFormat="1" ht="15.75">
      <c r="A376" s="89"/>
      <c r="B376" s="118"/>
      <c r="C376" s="119"/>
      <c r="D376" s="119"/>
      <c r="E376" s="119"/>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P376" s="101"/>
      <c r="AQ376" s="101"/>
      <c r="AR376" s="101"/>
      <c r="AS376" s="101"/>
      <c r="AT376" s="101"/>
      <c r="AU376" s="101"/>
      <c r="AV376" s="101"/>
      <c r="AW376" s="101"/>
      <c r="AX376" s="101"/>
      <c r="AY376" s="101"/>
      <c r="AZ376" s="101"/>
      <c r="BA376" s="101"/>
    </row>
    <row r="377" spans="1:53" s="97" customFormat="1" ht="15.75">
      <c r="A377" s="89"/>
      <c r="B377" s="118"/>
      <c r="C377" s="119"/>
      <c r="D377" s="119"/>
      <c r="E377" s="119"/>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P377" s="101"/>
      <c r="AQ377" s="101"/>
      <c r="AR377" s="101"/>
      <c r="AS377" s="101"/>
      <c r="AT377" s="101"/>
      <c r="AU377" s="101"/>
      <c r="AV377" s="101"/>
      <c r="AW377" s="101"/>
      <c r="AX377" s="101"/>
      <c r="AY377" s="101"/>
      <c r="AZ377" s="101"/>
      <c r="BA377" s="101"/>
    </row>
    <row r="378" spans="1:53" s="97" customFormat="1" ht="15.75">
      <c r="A378" s="89"/>
      <c r="B378" s="118"/>
      <c r="C378" s="119"/>
      <c r="D378" s="119"/>
      <c r="E378" s="119"/>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P378" s="101"/>
      <c r="AQ378" s="101"/>
      <c r="AR378" s="101"/>
      <c r="AS378" s="101"/>
      <c r="AT378" s="101"/>
      <c r="AU378" s="101"/>
      <c r="AV378" s="101"/>
      <c r="AW378" s="101"/>
      <c r="AX378" s="101"/>
      <c r="AY378" s="101"/>
      <c r="AZ378" s="101"/>
      <c r="BA378" s="101"/>
    </row>
    <row r="379" spans="1:53" s="97" customFormat="1" ht="15.75">
      <c r="A379" s="89"/>
      <c r="B379" s="118"/>
      <c r="C379" s="119"/>
      <c r="D379" s="119"/>
      <c r="E379" s="119"/>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P379" s="101"/>
      <c r="AQ379" s="101"/>
      <c r="AR379" s="101"/>
      <c r="AS379" s="101"/>
      <c r="AT379" s="101"/>
      <c r="AU379" s="101"/>
      <c r="AV379" s="101"/>
      <c r="AW379" s="101"/>
      <c r="AX379" s="101"/>
      <c r="AY379" s="101"/>
      <c r="AZ379" s="101"/>
      <c r="BA379" s="101"/>
    </row>
    <row r="380" spans="1:53" s="97" customFormat="1" ht="15.75">
      <c r="A380" s="89"/>
      <c r="B380" s="118"/>
      <c r="C380" s="119"/>
      <c r="D380" s="119"/>
      <c r="E380" s="119"/>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P380" s="101"/>
      <c r="AQ380" s="101"/>
      <c r="AR380" s="101"/>
      <c r="AS380" s="101"/>
      <c r="AT380" s="101"/>
      <c r="AU380" s="101"/>
      <c r="AV380" s="101"/>
      <c r="AW380" s="101"/>
      <c r="AX380" s="101"/>
      <c r="AY380" s="101"/>
      <c r="AZ380" s="101"/>
      <c r="BA380" s="101"/>
    </row>
  </sheetData>
  <mergeCells count="65">
    <mergeCell ref="A1:U1"/>
    <mergeCell ref="AI1:AO1"/>
    <mergeCell ref="A2:U2"/>
    <mergeCell ref="AI2:AO2"/>
    <mergeCell ref="A3:AO3"/>
    <mergeCell ref="A4:AO4"/>
    <mergeCell ref="A5:AO5"/>
    <mergeCell ref="X6:AG6"/>
    <mergeCell ref="X7:Y7"/>
    <mergeCell ref="AA7:AB7"/>
    <mergeCell ref="AC7:AD7"/>
    <mergeCell ref="AF7:AG7"/>
    <mergeCell ref="F6:H7"/>
    <mergeCell ref="O6:Q7"/>
    <mergeCell ref="I6:N7"/>
    <mergeCell ref="AI8:AK8"/>
    <mergeCell ref="AM8:AN8"/>
    <mergeCell ref="B46:AO46"/>
    <mergeCell ref="A6:A10"/>
    <mergeCell ref="B6:B10"/>
    <mergeCell ref="C6:C10"/>
    <mergeCell ref="D6:D10"/>
    <mergeCell ref="E6:E10"/>
    <mergeCell ref="F8:F10"/>
    <mergeCell ref="G8:G10"/>
    <mergeCell ref="H8:H10"/>
    <mergeCell ref="I8:I10"/>
    <mergeCell ref="J8:J10"/>
    <mergeCell ref="K9:K10"/>
    <mergeCell ref="L9:L10"/>
    <mergeCell ref="M9:M10"/>
    <mergeCell ref="N9:N10"/>
    <mergeCell ref="O8:O10"/>
    <mergeCell ref="P8:P10"/>
    <mergeCell ref="Q8:Q10"/>
    <mergeCell ref="K8:N8"/>
    <mergeCell ref="R8:R10"/>
    <mergeCell ref="S8:S10"/>
    <mergeCell ref="T8:T10"/>
    <mergeCell ref="U8:U10"/>
    <mergeCell ref="V8:V10"/>
    <mergeCell ref="AD8:AD10"/>
    <mergeCell ref="AE7:AE10"/>
    <mergeCell ref="AF8:AF10"/>
    <mergeCell ref="W8:W10"/>
    <mergeCell ref="X8:X10"/>
    <mergeCell ref="Y8:Y10"/>
    <mergeCell ref="Z7:Z10"/>
    <mergeCell ref="AA8:AA10"/>
    <mergeCell ref="AL8:AL10"/>
    <mergeCell ref="AM9:AM10"/>
    <mergeCell ref="AN9:AN10"/>
    <mergeCell ref="AO6:AO10"/>
    <mergeCell ref="R6:S7"/>
    <mergeCell ref="T6:U7"/>
    <mergeCell ref="V6:W7"/>
    <mergeCell ref="AH6:AK7"/>
    <mergeCell ref="AL6:AN7"/>
    <mergeCell ref="AG8:AG10"/>
    <mergeCell ref="AH8:AH10"/>
    <mergeCell ref="AI9:AI10"/>
    <mergeCell ref="AJ9:AJ10"/>
    <mergeCell ref="AK9:AK10"/>
    <mergeCell ref="AB8:AB10"/>
    <mergeCell ref="AC8:AC10"/>
  </mergeCells>
  <printOptions horizontalCentered="1"/>
  <pageMargins left="0.25" right="0.25" top="0.75" bottom="0.75" header="0.3" footer="0.3"/>
  <pageSetup paperSize="9" scale="57" fitToHeight="0" orientation="landscape"/>
  <headerFooter alignWithMargins="0">
    <oddFooter>&amp;R&amp;14&amp;P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zoomScalePageLayoutView="75" workbookViewId="0">
      <selection activeCell="I25" sqref="I25"/>
    </sheetView>
  </sheetViews>
  <sheetFormatPr defaultColWidth="9.140625" defaultRowHeight="16.5"/>
  <cols>
    <col min="1" max="1" width="6.140625" style="57" customWidth="1"/>
    <col min="2" max="2" width="43.28515625" style="59" customWidth="1"/>
    <col min="3" max="3" width="12.28515625" style="59" customWidth="1"/>
    <col min="4" max="4" width="9.7109375" style="59" customWidth="1"/>
    <col min="5" max="5" width="10.140625" style="59" customWidth="1"/>
    <col min="6" max="7" width="9.42578125" style="59" customWidth="1"/>
    <col min="8" max="8" width="17.28515625" style="59" customWidth="1"/>
    <col min="9" max="9" width="17.5703125" style="59" customWidth="1"/>
    <col min="10" max="10" width="9" style="59" customWidth="1"/>
    <col min="11" max="11" width="11.42578125" style="59" customWidth="1"/>
    <col min="12" max="12" width="10.7109375" style="59" customWidth="1"/>
    <col min="13" max="16384" width="9.140625" style="59"/>
  </cols>
  <sheetData>
    <row r="1" spans="1:13" s="54" customFormat="1" ht="26.25" customHeight="1">
      <c r="A1" s="1318" t="s">
        <v>560</v>
      </c>
      <c r="B1" s="1318"/>
      <c r="C1" s="1318"/>
      <c r="D1" s="1318"/>
      <c r="E1" s="1318"/>
      <c r="F1" s="1318"/>
      <c r="G1" s="60"/>
      <c r="H1" s="61" t="s">
        <v>1</v>
      </c>
      <c r="I1" s="60"/>
      <c r="J1" s="60"/>
      <c r="K1" s="60"/>
      <c r="L1" s="60"/>
      <c r="M1" s="60"/>
    </row>
    <row r="2" spans="1:13" s="54" customFormat="1" ht="38.25" customHeight="1">
      <c r="A2" s="1319" t="s">
        <v>2</v>
      </c>
      <c r="B2" s="1319"/>
      <c r="C2" s="1319"/>
      <c r="D2" s="1319"/>
      <c r="E2" s="1319"/>
      <c r="F2" s="1319"/>
      <c r="G2" s="63"/>
      <c r="H2" s="64" t="s">
        <v>561</v>
      </c>
      <c r="I2" s="63"/>
      <c r="J2" s="63"/>
      <c r="K2" s="63"/>
      <c r="L2" s="63"/>
      <c r="M2" s="63"/>
    </row>
    <row r="3" spans="1:13" ht="25.5" customHeight="1">
      <c r="A3" s="1320" t="s">
        <v>492</v>
      </c>
      <c r="B3" s="1320"/>
      <c r="C3" s="1320"/>
      <c r="D3" s="1320"/>
      <c r="E3" s="1320"/>
      <c r="F3" s="1320"/>
      <c r="G3" s="1320"/>
      <c r="H3" s="1320"/>
      <c r="I3" s="1320"/>
      <c r="J3" s="1320"/>
      <c r="K3" s="1320"/>
      <c r="L3" s="1320"/>
      <c r="M3" s="1320"/>
    </row>
    <row r="4" spans="1:13" s="54" customFormat="1" ht="26.25" customHeight="1">
      <c r="A4" s="1318" t="s">
        <v>562</v>
      </c>
      <c r="B4" s="1318"/>
      <c r="C4" s="1318"/>
      <c r="D4" s="1318"/>
      <c r="E4" s="1318"/>
      <c r="F4" s="1318"/>
      <c r="G4" s="1318"/>
      <c r="H4" s="1318"/>
      <c r="I4" s="1318"/>
      <c r="J4" s="1318"/>
      <c r="K4" s="1318"/>
      <c r="L4" s="1318"/>
      <c r="M4" s="1318"/>
    </row>
    <row r="5" spans="1:13" s="55" customFormat="1" ht="29.25" customHeight="1">
      <c r="A5" s="62"/>
      <c r="B5" s="63"/>
      <c r="C5" s="63"/>
      <c r="D5" s="63"/>
      <c r="E5" s="63"/>
      <c r="F5" s="63"/>
      <c r="G5" s="1321" t="s">
        <v>6</v>
      </c>
      <c r="H5" s="1321"/>
      <c r="I5" s="1321"/>
      <c r="J5" s="1321"/>
      <c r="K5" s="1321"/>
      <c r="L5" s="1321"/>
      <c r="M5" s="1321"/>
    </row>
    <row r="6" spans="1:13" s="56" customFormat="1" ht="56.25" customHeight="1">
      <c r="A6" s="1311" t="s">
        <v>7</v>
      </c>
      <c r="B6" s="1311" t="s">
        <v>563</v>
      </c>
      <c r="C6" s="1315" t="s">
        <v>564</v>
      </c>
      <c r="D6" s="1316"/>
      <c r="E6" s="1316"/>
      <c r="F6" s="1317"/>
      <c r="G6" s="1315" t="s">
        <v>565</v>
      </c>
      <c r="H6" s="1316"/>
      <c r="I6" s="1316"/>
      <c r="J6" s="1316"/>
      <c r="K6" s="1316"/>
      <c r="L6" s="1317"/>
      <c r="M6" s="1312" t="s">
        <v>11</v>
      </c>
    </row>
    <row r="7" spans="1:13" s="56" customFormat="1" ht="22.5" customHeight="1">
      <c r="A7" s="1311"/>
      <c r="B7" s="1311"/>
      <c r="C7" s="1312" t="s">
        <v>566</v>
      </c>
      <c r="D7" s="1311" t="s">
        <v>567</v>
      </c>
      <c r="E7" s="1311"/>
      <c r="F7" s="1311"/>
      <c r="G7" s="1311" t="s">
        <v>566</v>
      </c>
      <c r="H7" s="1311"/>
      <c r="I7" s="1311"/>
      <c r="J7" s="1311" t="s">
        <v>567</v>
      </c>
      <c r="K7" s="1311"/>
      <c r="L7" s="1311"/>
      <c r="M7" s="1314"/>
    </row>
    <row r="8" spans="1:13" s="56" customFormat="1" ht="86.25" customHeight="1">
      <c r="A8" s="1311"/>
      <c r="B8" s="1311"/>
      <c r="C8" s="1313"/>
      <c r="D8" s="65" t="s">
        <v>17</v>
      </c>
      <c r="E8" s="65" t="s">
        <v>568</v>
      </c>
      <c r="F8" s="65" t="s">
        <v>569</v>
      </c>
      <c r="G8" s="65" t="s">
        <v>17</v>
      </c>
      <c r="H8" s="65" t="s">
        <v>570</v>
      </c>
      <c r="I8" s="65" t="s">
        <v>571</v>
      </c>
      <c r="J8" s="65" t="s">
        <v>17</v>
      </c>
      <c r="K8" s="65" t="s">
        <v>568</v>
      </c>
      <c r="L8" s="65" t="s">
        <v>569</v>
      </c>
      <c r="M8" s="1313"/>
    </row>
    <row r="9" spans="1:13" s="57" customFormat="1" ht="21" customHeight="1">
      <c r="A9" s="65">
        <v>1</v>
      </c>
      <c r="B9" s="65">
        <v>2</v>
      </c>
      <c r="C9" s="65">
        <v>3</v>
      </c>
      <c r="D9" s="65">
        <v>4</v>
      </c>
      <c r="E9" s="65">
        <v>5</v>
      </c>
      <c r="F9" s="65">
        <v>6</v>
      </c>
      <c r="G9" s="65">
        <v>7</v>
      </c>
      <c r="H9" s="65">
        <v>8</v>
      </c>
      <c r="I9" s="65">
        <v>9</v>
      </c>
      <c r="J9" s="65">
        <v>10</v>
      </c>
      <c r="K9" s="65">
        <v>11</v>
      </c>
      <c r="L9" s="65">
        <v>12</v>
      </c>
      <c r="M9" s="65">
        <v>13</v>
      </c>
    </row>
    <row r="10" spans="1:13" ht="32.25" customHeight="1">
      <c r="A10" s="65"/>
      <c r="B10" s="66" t="s">
        <v>572</v>
      </c>
      <c r="C10" s="66"/>
      <c r="D10" s="67"/>
      <c r="E10" s="67"/>
      <c r="F10" s="67"/>
      <c r="G10" s="67"/>
      <c r="H10" s="67"/>
      <c r="I10" s="67"/>
      <c r="J10" s="82"/>
      <c r="K10" s="82"/>
      <c r="L10" s="82"/>
      <c r="M10" s="82"/>
    </row>
    <row r="11" spans="1:13" ht="35.25" customHeight="1">
      <c r="A11" s="66" t="s">
        <v>95</v>
      </c>
      <c r="B11" s="68" t="s">
        <v>573</v>
      </c>
      <c r="C11" s="68"/>
      <c r="D11" s="67"/>
      <c r="E11" s="67"/>
      <c r="F11" s="67"/>
      <c r="G11" s="67"/>
      <c r="H11" s="67"/>
      <c r="I11" s="67"/>
      <c r="J11" s="82"/>
      <c r="K11" s="82"/>
      <c r="L11" s="82"/>
      <c r="M11" s="82"/>
    </row>
    <row r="12" spans="1:13" ht="36" customHeight="1">
      <c r="A12" s="66">
        <v>1</v>
      </c>
      <c r="B12" s="69" t="s">
        <v>574</v>
      </c>
      <c r="C12" s="70"/>
      <c r="D12" s="67"/>
      <c r="E12" s="67"/>
      <c r="F12" s="67"/>
      <c r="G12" s="67"/>
      <c r="H12" s="67"/>
      <c r="I12" s="67"/>
      <c r="J12" s="82"/>
      <c r="K12" s="82"/>
      <c r="L12" s="82"/>
      <c r="M12" s="82"/>
    </row>
    <row r="13" spans="1:13" s="55" customFormat="1" ht="26.25" customHeight="1">
      <c r="A13" s="71"/>
      <c r="B13" s="72" t="s">
        <v>75</v>
      </c>
      <c r="C13" s="72"/>
      <c r="D13" s="73"/>
      <c r="E13" s="73"/>
      <c r="F13" s="73"/>
      <c r="G13" s="73"/>
      <c r="H13" s="73"/>
      <c r="I13" s="73"/>
      <c r="J13" s="75"/>
      <c r="K13" s="75"/>
      <c r="L13" s="75"/>
      <c r="M13" s="75"/>
    </row>
    <row r="14" spans="1:13" s="55" customFormat="1" ht="26.25" customHeight="1">
      <c r="A14" s="194" t="s">
        <v>575</v>
      </c>
      <c r="B14" s="75" t="s">
        <v>576</v>
      </c>
      <c r="C14" s="75"/>
      <c r="D14" s="76"/>
      <c r="E14" s="76"/>
      <c r="F14" s="76"/>
      <c r="G14" s="76"/>
      <c r="H14" s="76"/>
      <c r="I14" s="76"/>
      <c r="J14" s="75"/>
      <c r="K14" s="75"/>
      <c r="L14" s="75"/>
      <c r="M14" s="75"/>
    </row>
    <row r="15" spans="1:13" s="55" customFormat="1" ht="26.25" customHeight="1">
      <c r="A15" s="194" t="s">
        <v>575</v>
      </c>
      <c r="B15" s="75" t="s">
        <v>577</v>
      </c>
      <c r="C15" s="75"/>
      <c r="D15" s="76"/>
      <c r="E15" s="76"/>
      <c r="F15" s="76"/>
      <c r="G15" s="76"/>
      <c r="H15" s="76"/>
      <c r="I15" s="76"/>
      <c r="J15" s="75"/>
      <c r="K15" s="75"/>
      <c r="L15" s="75"/>
      <c r="M15" s="75"/>
    </row>
    <row r="16" spans="1:13" ht="33">
      <c r="A16" s="195" t="s">
        <v>188</v>
      </c>
      <c r="B16" s="77" t="s">
        <v>578</v>
      </c>
      <c r="C16" s="78"/>
      <c r="D16" s="79"/>
      <c r="E16" s="79"/>
      <c r="F16" s="79"/>
      <c r="G16" s="79"/>
      <c r="H16" s="79"/>
      <c r="I16" s="79"/>
      <c r="J16" s="82"/>
      <c r="K16" s="82"/>
      <c r="L16" s="82"/>
      <c r="M16" s="82"/>
    </row>
    <row r="17" spans="1:13" s="55" customFormat="1" ht="26.25" customHeight="1">
      <c r="A17" s="71"/>
      <c r="B17" s="72" t="s">
        <v>75</v>
      </c>
      <c r="C17" s="72"/>
      <c r="D17" s="73"/>
      <c r="E17" s="73"/>
      <c r="F17" s="73"/>
      <c r="G17" s="73"/>
      <c r="H17" s="73"/>
      <c r="I17" s="73"/>
      <c r="J17" s="75"/>
      <c r="K17" s="75"/>
      <c r="L17" s="75"/>
      <c r="M17" s="75"/>
    </row>
    <row r="18" spans="1:13" s="55" customFormat="1" ht="39.75" customHeight="1">
      <c r="A18" s="194" t="s">
        <v>575</v>
      </c>
      <c r="B18" s="75" t="s">
        <v>579</v>
      </c>
      <c r="C18" s="75"/>
      <c r="D18" s="76"/>
      <c r="E18" s="76"/>
      <c r="F18" s="76"/>
      <c r="G18" s="76"/>
      <c r="H18" s="76"/>
      <c r="I18" s="76"/>
      <c r="J18" s="75"/>
      <c r="K18" s="75"/>
      <c r="L18" s="75"/>
      <c r="M18" s="75"/>
    </row>
    <row r="19" spans="1:13" s="55" customFormat="1" ht="39.75" customHeight="1">
      <c r="A19" s="194" t="s">
        <v>575</v>
      </c>
      <c r="B19" s="75" t="s">
        <v>580</v>
      </c>
      <c r="C19" s="75"/>
      <c r="D19" s="76"/>
      <c r="E19" s="76"/>
      <c r="F19" s="76"/>
      <c r="G19" s="76"/>
      <c r="H19" s="76"/>
      <c r="I19" s="76"/>
      <c r="J19" s="75"/>
      <c r="K19" s="75"/>
      <c r="L19" s="75"/>
      <c r="M19" s="75"/>
    </row>
    <row r="20" spans="1:13" ht="36" customHeight="1">
      <c r="A20" s="195" t="s">
        <v>194</v>
      </c>
      <c r="B20" s="77" t="s">
        <v>581</v>
      </c>
      <c r="C20" s="78"/>
      <c r="D20" s="79"/>
      <c r="E20" s="79"/>
      <c r="F20" s="79"/>
      <c r="G20" s="79"/>
      <c r="H20" s="79"/>
      <c r="I20" s="79"/>
      <c r="J20" s="82"/>
      <c r="K20" s="82"/>
      <c r="L20" s="82"/>
      <c r="M20" s="82"/>
    </row>
    <row r="21" spans="1:13" ht="58.5" customHeight="1">
      <c r="A21" s="66">
        <v>2</v>
      </c>
      <c r="B21" s="70" t="s">
        <v>582</v>
      </c>
      <c r="C21" s="70"/>
      <c r="D21" s="67"/>
      <c r="E21" s="67"/>
      <c r="F21" s="67"/>
      <c r="G21" s="67"/>
      <c r="H21" s="67"/>
      <c r="I21" s="67"/>
      <c r="J21" s="82"/>
      <c r="K21" s="82"/>
      <c r="L21" s="82"/>
      <c r="M21" s="82"/>
    </row>
    <row r="22" spans="1:13" s="55" customFormat="1" ht="26.25" customHeight="1">
      <c r="A22" s="71"/>
      <c r="B22" s="72" t="s">
        <v>75</v>
      </c>
      <c r="C22" s="72"/>
      <c r="D22" s="73"/>
      <c r="E22" s="73"/>
      <c r="F22" s="73"/>
      <c r="G22" s="73"/>
      <c r="H22" s="73"/>
      <c r="I22" s="73"/>
      <c r="J22" s="75"/>
      <c r="K22" s="75"/>
      <c r="L22" s="75"/>
      <c r="M22" s="75"/>
    </row>
    <row r="23" spans="1:13" s="55" customFormat="1" ht="26.25" customHeight="1">
      <c r="A23" s="194" t="s">
        <v>575</v>
      </c>
      <c r="B23" s="75" t="s">
        <v>576</v>
      </c>
      <c r="C23" s="75"/>
      <c r="D23" s="76"/>
      <c r="E23" s="76"/>
      <c r="F23" s="76"/>
      <c r="G23" s="76"/>
      <c r="H23" s="76"/>
      <c r="I23" s="76"/>
      <c r="J23" s="75"/>
      <c r="K23" s="75"/>
      <c r="L23" s="75"/>
      <c r="M23" s="75"/>
    </row>
    <row r="24" spans="1:13" s="55" customFormat="1" ht="26.25" customHeight="1">
      <c r="A24" s="194" t="s">
        <v>575</v>
      </c>
      <c r="B24" s="75" t="s">
        <v>577</v>
      </c>
      <c r="C24" s="75"/>
      <c r="D24" s="76"/>
      <c r="E24" s="76"/>
      <c r="F24" s="76"/>
      <c r="G24" s="76"/>
      <c r="H24" s="76"/>
      <c r="I24" s="76"/>
      <c r="J24" s="75"/>
      <c r="K24" s="75"/>
      <c r="L24" s="75"/>
      <c r="M24" s="75"/>
    </row>
    <row r="25" spans="1:13" s="58" customFormat="1" ht="24.75" customHeight="1">
      <c r="A25" s="196" t="s">
        <v>188</v>
      </c>
      <c r="B25" s="80" t="s">
        <v>583</v>
      </c>
      <c r="C25" s="80"/>
      <c r="D25" s="73"/>
      <c r="E25" s="73"/>
      <c r="F25" s="73"/>
      <c r="G25" s="73"/>
      <c r="H25" s="73"/>
      <c r="I25" s="73"/>
      <c r="J25" s="72"/>
      <c r="K25" s="72"/>
      <c r="L25" s="72"/>
      <c r="M25" s="72"/>
    </row>
    <row r="26" spans="1:13" s="55" customFormat="1" ht="26.25" customHeight="1">
      <c r="A26" s="71"/>
      <c r="B26" s="72" t="s">
        <v>75</v>
      </c>
      <c r="C26" s="72"/>
      <c r="D26" s="73"/>
      <c r="E26" s="73"/>
      <c r="F26" s="73"/>
      <c r="G26" s="73"/>
      <c r="H26" s="73"/>
      <c r="I26" s="73"/>
      <c r="J26" s="75"/>
      <c r="K26" s="75"/>
      <c r="L26" s="75"/>
      <c r="M26" s="75"/>
    </row>
    <row r="27" spans="1:13" s="55" customFormat="1" ht="26.25" customHeight="1">
      <c r="A27" s="194" t="s">
        <v>575</v>
      </c>
      <c r="B27" s="75" t="s">
        <v>576</v>
      </c>
      <c r="C27" s="75"/>
      <c r="D27" s="76"/>
      <c r="E27" s="76"/>
      <c r="F27" s="76"/>
      <c r="G27" s="76"/>
      <c r="H27" s="76"/>
      <c r="I27" s="76"/>
      <c r="J27" s="75"/>
      <c r="K27" s="75"/>
      <c r="L27" s="75"/>
      <c r="M27" s="75"/>
    </row>
    <row r="28" spans="1:13" s="55" customFormat="1" ht="26.25" customHeight="1">
      <c r="A28" s="194" t="s">
        <v>575</v>
      </c>
      <c r="B28" s="75" t="s">
        <v>577</v>
      </c>
      <c r="C28" s="75"/>
      <c r="D28" s="76"/>
      <c r="E28" s="76"/>
      <c r="F28" s="76"/>
      <c r="G28" s="76"/>
      <c r="H28" s="76"/>
      <c r="I28" s="76"/>
      <c r="J28" s="75"/>
      <c r="K28" s="75"/>
      <c r="L28" s="75"/>
      <c r="M28" s="75"/>
    </row>
    <row r="29" spans="1:13" ht="26.25" customHeight="1">
      <c r="A29" s="81">
        <v>-1</v>
      </c>
      <c r="B29" s="82" t="s">
        <v>584</v>
      </c>
      <c r="C29" s="82"/>
      <c r="D29" s="79"/>
      <c r="E29" s="79"/>
      <c r="F29" s="79"/>
      <c r="G29" s="79"/>
      <c r="H29" s="79"/>
      <c r="I29" s="79"/>
      <c r="J29" s="82"/>
      <c r="K29" s="82"/>
      <c r="L29" s="82"/>
      <c r="M29" s="82"/>
    </row>
    <row r="30" spans="1:13" ht="26.25" customHeight="1">
      <c r="A30" s="197" t="s">
        <v>575</v>
      </c>
      <c r="B30" s="82" t="s">
        <v>576</v>
      </c>
      <c r="C30" s="82"/>
      <c r="D30" s="79"/>
      <c r="E30" s="79"/>
      <c r="F30" s="79"/>
      <c r="G30" s="79"/>
      <c r="H30" s="79"/>
      <c r="I30" s="79"/>
      <c r="J30" s="82"/>
      <c r="K30" s="82"/>
      <c r="L30" s="82"/>
      <c r="M30" s="82"/>
    </row>
    <row r="31" spans="1:13" ht="26.25" customHeight="1">
      <c r="A31" s="197" t="s">
        <v>575</v>
      </c>
      <c r="B31" s="82" t="s">
        <v>577</v>
      </c>
      <c r="C31" s="82"/>
      <c r="D31" s="79"/>
      <c r="E31" s="79"/>
      <c r="F31" s="79"/>
      <c r="G31" s="79"/>
      <c r="H31" s="79"/>
      <c r="I31" s="79"/>
      <c r="J31" s="82"/>
      <c r="K31" s="82"/>
      <c r="L31" s="82"/>
      <c r="M31" s="82"/>
    </row>
    <row r="32" spans="1:13" ht="26.25" customHeight="1">
      <c r="A32" s="81">
        <v>-2</v>
      </c>
      <c r="B32" s="82" t="s">
        <v>584</v>
      </c>
      <c r="C32" s="82"/>
      <c r="D32" s="79"/>
      <c r="E32" s="79"/>
      <c r="F32" s="79"/>
      <c r="G32" s="79"/>
      <c r="H32" s="79"/>
      <c r="I32" s="79"/>
      <c r="J32" s="82"/>
      <c r="K32" s="82"/>
      <c r="L32" s="82"/>
      <c r="M32" s="82"/>
    </row>
    <row r="33" spans="1:13" s="55" customFormat="1" ht="26.25" customHeight="1">
      <c r="A33" s="74"/>
      <c r="B33" s="75" t="s">
        <v>585</v>
      </c>
      <c r="C33" s="75"/>
      <c r="D33" s="76"/>
      <c r="E33" s="76"/>
      <c r="F33" s="76"/>
      <c r="G33" s="76"/>
      <c r="H33" s="76"/>
      <c r="I33" s="76"/>
      <c r="J33" s="75"/>
      <c r="K33" s="75"/>
      <c r="L33" s="75"/>
      <c r="M33" s="75"/>
    </row>
    <row r="34" spans="1:13" s="55" customFormat="1" ht="26.25" customHeight="1">
      <c r="A34" s="194" t="s">
        <v>192</v>
      </c>
      <c r="B34" s="75" t="s">
        <v>192</v>
      </c>
      <c r="C34" s="75"/>
      <c r="D34" s="76"/>
      <c r="E34" s="76"/>
      <c r="F34" s="76"/>
      <c r="G34" s="76"/>
      <c r="H34" s="76"/>
      <c r="I34" s="76"/>
      <c r="J34" s="75"/>
      <c r="K34" s="75"/>
      <c r="L34" s="75"/>
      <c r="M34" s="75"/>
    </row>
    <row r="35" spans="1:13" s="58" customFormat="1" ht="26.25" customHeight="1">
      <c r="A35" s="196" t="s">
        <v>194</v>
      </c>
      <c r="B35" s="80" t="s">
        <v>586</v>
      </c>
      <c r="C35" s="80"/>
      <c r="D35" s="73"/>
      <c r="E35" s="73"/>
      <c r="F35" s="73"/>
      <c r="G35" s="73"/>
      <c r="H35" s="73"/>
      <c r="I35" s="73"/>
      <c r="J35" s="72"/>
      <c r="K35" s="72"/>
      <c r="L35" s="72"/>
      <c r="M35" s="72"/>
    </row>
    <row r="36" spans="1:13" s="55" customFormat="1" ht="26.25" customHeight="1">
      <c r="A36" s="71"/>
      <c r="B36" s="72" t="s">
        <v>75</v>
      </c>
      <c r="C36" s="72"/>
      <c r="D36" s="73"/>
      <c r="E36" s="73"/>
      <c r="F36" s="73"/>
      <c r="G36" s="73"/>
      <c r="H36" s="73"/>
      <c r="I36" s="73"/>
      <c r="J36" s="75"/>
      <c r="K36" s="75"/>
      <c r="L36" s="75"/>
      <c r="M36" s="75"/>
    </row>
    <row r="37" spans="1:13" s="55" customFormat="1" ht="26.25" customHeight="1">
      <c r="A37" s="194" t="s">
        <v>575</v>
      </c>
      <c r="B37" s="75" t="s">
        <v>576</v>
      </c>
      <c r="C37" s="75"/>
      <c r="D37" s="76"/>
      <c r="E37" s="76"/>
      <c r="F37" s="76"/>
      <c r="G37" s="76"/>
      <c r="H37" s="76"/>
      <c r="I37" s="76"/>
      <c r="J37" s="75"/>
      <c r="K37" s="75"/>
      <c r="L37" s="75"/>
      <c r="M37" s="75"/>
    </row>
    <row r="38" spans="1:13" s="55" customFormat="1" ht="26.25" customHeight="1">
      <c r="A38" s="194" t="s">
        <v>575</v>
      </c>
      <c r="B38" s="75" t="s">
        <v>577</v>
      </c>
      <c r="C38" s="75"/>
      <c r="D38" s="76"/>
      <c r="E38" s="76"/>
      <c r="F38" s="76"/>
      <c r="G38" s="76"/>
      <c r="H38" s="76"/>
      <c r="I38" s="76"/>
      <c r="J38" s="75"/>
      <c r="K38" s="75"/>
      <c r="L38" s="75"/>
      <c r="M38" s="75"/>
    </row>
    <row r="39" spans="1:13" ht="26.25" customHeight="1">
      <c r="A39" s="81">
        <v>-1</v>
      </c>
      <c r="B39" s="82" t="s">
        <v>584</v>
      </c>
      <c r="C39" s="82"/>
      <c r="D39" s="79"/>
      <c r="E39" s="79"/>
      <c r="F39" s="79"/>
      <c r="G39" s="79"/>
      <c r="H39" s="79"/>
      <c r="I39" s="79"/>
      <c r="J39" s="82"/>
      <c r="K39" s="82"/>
      <c r="L39" s="82"/>
      <c r="M39" s="82"/>
    </row>
    <row r="40" spans="1:13" ht="26.25" customHeight="1">
      <c r="A40" s="197" t="s">
        <v>575</v>
      </c>
      <c r="B40" s="82" t="s">
        <v>576</v>
      </c>
      <c r="C40" s="82"/>
      <c r="D40" s="79"/>
      <c r="E40" s="79"/>
      <c r="F40" s="79"/>
      <c r="G40" s="79"/>
      <c r="H40" s="79"/>
      <c r="I40" s="79"/>
      <c r="J40" s="82"/>
      <c r="K40" s="82"/>
      <c r="L40" s="82"/>
      <c r="M40" s="82"/>
    </row>
    <row r="41" spans="1:13" ht="26.25" customHeight="1">
      <c r="A41" s="197" t="s">
        <v>575</v>
      </c>
      <c r="B41" s="82" t="s">
        <v>577</v>
      </c>
      <c r="C41" s="82"/>
      <c r="D41" s="79"/>
      <c r="E41" s="79"/>
      <c r="F41" s="79"/>
      <c r="G41" s="79"/>
      <c r="H41" s="79"/>
      <c r="I41" s="79"/>
      <c r="J41" s="82"/>
      <c r="K41" s="82"/>
      <c r="L41" s="82"/>
      <c r="M41" s="82"/>
    </row>
    <row r="42" spans="1:13" ht="26.25" customHeight="1">
      <c r="A42" s="81">
        <v>-2</v>
      </c>
      <c r="B42" s="82" t="s">
        <v>584</v>
      </c>
      <c r="C42" s="82"/>
      <c r="D42" s="79"/>
      <c r="E42" s="79"/>
      <c r="F42" s="79"/>
      <c r="G42" s="79"/>
      <c r="H42" s="79"/>
      <c r="I42" s="79"/>
      <c r="J42" s="82"/>
      <c r="K42" s="82"/>
      <c r="L42" s="82"/>
      <c r="M42" s="82"/>
    </row>
    <row r="43" spans="1:13" s="55" customFormat="1" ht="26.25" customHeight="1">
      <c r="A43" s="74"/>
      <c r="B43" s="75" t="s">
        <v>585</v>
      </c>
      <c r="C43" s="75"/>
      <c r="D43" s="76"/>
      <c r="E43" s="76"/>
      <c r="F43" s="76"/>
      <c r="G43" s="76"/>
      <c r="H43" s="76"/>
      <c r="I43" s="76"/>
      <c r="J43" s="75"/>
      <c r="K43" s="75"/>
      <c r="L43" s="75"/>
      <c r="M43" s="75"/>
    </row>
    <row r="44" spans="1:13" s="55" customFormat="1" ht="26.25" customHeight="1">
      <c r="A44" s="194" t="s">
        <v>192</v>
      </c>
      <c r="B44" s="75" t="s">
        <v>192</v>
      </c>
      <c r="C44" s="75"/>
      <c r="D44" s="76"/>
      <c r="E44" s="76"/>
      <c r="F44" s="76"/>
      <c r="G44" s="76"/>
      <c r="H44" s="76"/>
      <c r="I44" s="76"/>
      <c r="J44" s="75"/>
      <c r="K44" s="75"/>
      <c r="L44" s="75"/>
      <c r="M44" s="75"/>
    </row>
    <row r="45" spans="1:13" ht="29.25" customHeight="1">
      <c r="A45" s="66" t="s">
        <v>109</v>
      </c>
      <c r="B45" s="70" t="s">
        <v>587</v>
      </c>
      <c r="C45" s="70"/>
      <c r="D45" s="67"/>
      <c r="E45" s="67"/>
      <c r="F45" s="67"/>
      <c r="G45" s="67"/>
      <c r="H45" s="67"/>
      <c r="I45" s="67"/>
      <c r="J45" s="82"/>
      <c r="K45" s="82"/>
      <c r="L45" s="82"/>
      <c r="M45" s="82"/>
    </row>
    <row r="46" spans="1:13" ht="29.25" customHeight="1">
      <c r="A46" s="65">
        <v>1</v>
      </c>
      <c r="B46" s="83" t="s">
        <v>588</v>
      </c>
      <c r="C46" s="82"/>
      <c r="D46" s="79"/>
      <c r="E46" s="79"/>
      <c r="F46" s="79"/>
      <c r="G46" s="79"/>
      <c r="H46" s="79"/>
      <c r="I46" s="79"/>
      <c r="J46" s="82"/>
      <c r="K46" s="82"/>
      <c r="L46" s="82"/>
      <c r="M46" s="82"/>
    </row>
    <row r="47" spans="1:13" ht="29.25" customHeight="1">
      <c r="A47" s="65">
        <v>2</v>
      </c>
      <c r="B47" s="83" t="s">
        <v>588</v>
      </c>
      <c r="C47" s="82"/>
      <c r="D47" s="79"/>
      <c r="E47" s="79"/>
      <c r="F47" s="79"/>
      <c r="G47" s="79"/>
      <c r="H47" s="79"/>
      <c r="I47" s="79"/>
      <c r="J47" s="82"/>
      <c r="K47" s="82"/>
      <c r="L47" s="82"/>
      <c r="M47" s="82"/>
    </row>
    <row r="48" spans="1:13" ht="29.25" customHeight="1">
      <c r="A48" s="65" t="s">
        <v>192</v>
      </c>
      <c r="B48" s="82" t="s">
        <v>192</v>
      </c>
      <c r="C48" s="82"/>
      <c r="D48" s="79"/>
      <c r="E48" s="79"/>
      <c r="F48" s="79"/>
      <c r="G48" s="79"/>
      <c r="H48" s="79"/>
      <c r="I48" s="79"/>
      <c r="J48" s="82"/>
      <c r="K48" s="82"/>
      <c r="L48" s="82"/>
      <c r="M48" s="82"/>
    </row>
    <row r="49" spans="1:13" ht="29.25" customHeight="1">
      <c r="A49" s="66" t="s">
        <v>122</v>
      </c>
      <c r="B49" s="70" t="s">
        <v>589</v>
      </c>
      <c r="C49" s="70"/>
      <c r="D49" s="67"/>
      <c r="E49" s="67"/>
      <c r="F49" s="67"/>
      <c r="G49" s="67"/>
      <c r="H49" s="67"/>
      <c r="I49" s="67"/>
      <c r="J49" s="82"/>
      <c r="K49" s="82"/>
      <c r="L49" s="82"/>
      <c r="M49" s="82"/>
    </row>
    <row r="50" spans="1:13" ht="29.25" customHeight="1">
      <c r="A50" s="65">
        <v>1</v>
      </c>
      <c r="B50" s="83" t="s">
        <v>588</v>
      </c>
      <c r="C50" s="82"/>
      <c r="D50" s="79"/>
      <c r="E50" s="79"/>
      <c r="F50" s="79"/>
      <c r="G50" s="79"/>
      <c r="H50" s="79"/>
      <c r="I50" s="79"/>
      <c r="J50" s="82"/>
      <c r="K50" s="82"/>
      <c r="L50" s="82"/>
      <c r="M50" s="82"/>
    </row>
    <row r="51" spans="1:13" ht="29.25" customHeight="1">
      <c r="A51" s="65">
        <v>2</v>
      </c>
      <c r="B51" s="83" t="s">
        <v>588</v>
      </c>
      <c r="C51" s="82"/>
      <c r="D51" s="79"/>
      <c r="E51" s="79"/>
      <c r="F51" s="79"/>
      <c r="G51" s="79"/>
      <c r="H51" s="79"/>
      <c r="I51" s="79"/>
      <c r="J51" s="82"/>
      <c r="K51" s="82"/>
      <c r="L51" s="82"/>
      <c r="M51" s="82"/>
    </row>
    <row r="52" spans="1:13" ht="29.25" customHeight="1">
      <c r="A52" s="65" t="s">
        <v>192</v>
      </c>
      <c r="B52" s="82" t="s">
        <v>192</v>
      </c>
      <c r="C52" s="82"/>
      <c r="D52" s="79"/>
      <c r="E52" s="79"/>
      <c r="F52" s="79"/>
      <c r="G52" s="79"/>
      <c r="H52" s="79"/>
      <c r="I52" s="79"/>
      <c r="J52" s="82"/>
      <c r="K52" s="82"/>
      <c r="L52" s="82"/>
      <c r="M52" s="82"/>
    </row>
    <row r="53" spans="1:13" ht="39.75" customHeight="1">
      <c r="A53" s="66" t="s">
        <v>125</v>
      </c>
      <c r="B53" s="70" t="s">
        <v>590</v>
      </c>
      <c r="C53" s="70"/>
      <c r="D53" s="67"/>
      <c r="E53" s="67"/>
      <c r="F53" s="67"/>
      <c r="G53" s="67"/>
      <c r="H53" s="67"/>
      <c r="I53" s="67"/>
      <c r="J53" s="82"/>
      <c r="K53" s="82"/>
      <c r="L53" s="82"/>
      <c r="M53" s="82"/>
    </row>
    <row r="54" spans="1:13" ht="31.5" customHeight="1">
      <c r="A54" s="65">
        <v>1</v>
      </c>
      <c r="B54" s="83" t="s">
        <v>588</v>
      </c>
      <c r="C54" s="82"/>
      <c r="D54" s="79"/>
      <c r="E54" s="79"/>
      <c r="F54" s="79"/>
      <c r="G54" s="79"/>
      <c r="H54" s="79"/>
      <c r="I54" s="79"/>
      <c r="J54" s="82"/>
      <c r="K54" s="82"/>
      <c r="L54" s="82"/>
      <c r="M54" s="82"/>
    </row>
    <row r="55" spans="1:13" ht="31.5" customHeight="1">
      <c r="A55" s="65">
        <v>2</v>
      </c>
      <c r="B55" s="83" t="s">
        <v>588</v>
      </c>
      <c r="C55" s="82"/>
      <c r="D55" s="79"/>
      <c r="E55" s="79"/>
      <c r="F55" s="79"/>
      <c r="G55" s="79"/>
      <c r="H55" s="79"/>
      <c r="I55" s="79"/>
      <c r="J55" s="82"/>
      <c r="K55" s="82"/>
      <c r="L55" s="82"/>
      <c r="M55" s="82"/>
    </row>
    <row r="56" spans="1:13" ht="31.5" customHeight="1">
      <c r="A56" s="65" t="s">
        <v>192</v>
      </c>
      <c r="B56" s="82" t="s">
        <v>192</v>
      </c>
      <c r="C56" s="82"/>
      <c r="D56" s="79"/>
      <c r="E56" s="79"/>
      <c r="F56" s="79"/>
      <c r="G56" s="79"/>
      <c r="H56" s="79"/>
      <c r="I56" s="79"/>
      <c r="J56" s="82"/>
      <c r="K56" s="82"/>
      <c r="L56" s="82"/>
      <c r="M56" s="82"/>
    </row>
    <row r="57" spans="1:13" ht="53.25" customHeight="1">
      <c r="A57" s="66" t="s">
        <v>133</v>
      </c>
      <c r="B57" s="70" t="s">
        <v>591</v>
      </c>
      <c r="C57" s="70"/>
      <c r="D57" s="67"/>
      <c r="E57" s="67"/>
      <c r="F57" s="67"/>
      <c r="G57" s="67"/>
      <c r="H57" s="67"/>
      <c r="I57" s="67"/>
      <c r="J57" s="82"/>
      <c r="K57" s="82"/>
      <c r="L57" s="82"/>
      <c r="M57" s="82"/>
    </row>
    <row r="58" spans="1:13" ht="28.5" customHeight="1">
      <c r="A58" s="65">
        <v>1</v>
      </c>
      <c r="B58" s="83" t="s">
        <v>588</v>
      </c>
      <c r="C58" s="82"/>
      <c r="D58" s="79"/>
      <c r="E58" s="79"/>
      <c r="F58" s="79"/>
      <c r="G58" s="79"/>
      <c r="H58" s="79"/>
      <c r="I58" s="79"/>
      <c r="J58" s="82"/>
      <c r="K58" s="82"/>
      <c r="L58" s="82"/>
      <c r="M58" s="82"/>
    </row>
    <row r="59" spans="1:13" ht="28.5" customHeight="1">
      <c r="A59" s="65">
        <v>2</v>
      </c>
      <c r="B59" s="83" t="s">
        <v>588</v>
      </c>
      <c r="C59" s="82"/>
      <c r="D59" s="79"/>
      <c r="E59" s="79"/>
      <c r="F59" s="79"/>
      <c r="G59" s="79"/>
      <c r="H59" s="79"/>
      <c r="I59" s="79"/>
      <c r="J59" s="82"/>
      <c r="K59" s="82"/>
      <c r="L59" s="82"/>
      <c r="M59" s="82"/>
    </row>
    <row r="60" spans="1:13" ht="28.5" customHeight="1">
      <c r="A60" s="65" t="s">
        <v>192</v>
      </c>
      <c r="B60" s="82" t="s">
        <v>192</v>
      </c>
      <c r="C60" s="82"/>
      <c r="D60" s="79"/>
      <c r="E60" s="79"/>
      <c r="F60" s="79"/>
      <c r="G60" s="79"/>
      <c r="H60" s="79"/>
      <c r="I60" s="79"/>
      <c r="J60" s="82"/>
      <c r="K60" s="82"/>
      <c r="L60" s="82"/>
      <c r="M60" s="82"/>
    </row>
    <row r="61" spans="1:13" ht="30" customHeight="1">
      <c r="A61" s="66" t="s">
        <v>150</v>
      </c>
      <c r="B61" s="70" t="s">
        <v>592</v>
      </c>
      <c r="C61" s="70"/>
      <c r="D61" s="67"/>
      <c r="E61" s="67"/>
      <c r="F61" s="67"/>
      <c r="G61" s="67"/>
      <c r="H61" s="67"/>
      <c r="I61" s="67"/>
      <c r="J61" s="82"/>
      <c r="K61" s="82"/>
      <c r="L61" s="82"/>
      <c r="M61" s="82"/>
    </row>
    <row r="62" spans="1:13" ht="30" customHeight="1">
      <c r="A62" s="65">
        <v>1</v>
      </c>
      <c r="B62" s="83" t="s">
        <v>588</v>
      </c>
      <c r="C62" s="82"/>
      <c r="D62" s="79"/>
      <c r="E62" s="79"/>
      <c r="F62" s="79"/>
      <c r="G62" s="79"/>
      <c r="H62" s="79"/>
      <c r="I62" s="79"/>
      <c r="J62" s="82"/>
      <c r="K62" s="82"/>
      <c r="L62" s="82"/>
      <c r="M62" s="82"/>
    </row>
    <row r="63" spans="1:13" ht="30" customHeight="1">
      <c r="A63" s="65">
        <v>2</v>
      </c>
      <c r="B63" s="83" t="s">
        <v>588</v>
      </c>
      <c r="C63" s="82"/>
      <c r="D63" s="79"/>
      <c r="E63" s="79"/>
      <c r="F63" s="79"/>
      <c r="G63" s="79"/>
      <c r="H63" s="79"/>
      <c r="I63" s="79"/>
      <c r="J63" s="82"/>
      <c r="K63" s="82"/>
      <c r="L63" s="82"/>
      <c r="M63" s="82"/>
    </row>
    <row r="64" spans="1:13" ht="30" customHeight="1">
      <c r="A64" s="65" t="s">
        <v>192</v>
      </c>
      <c r="B64" s="82" t="s">
        <v>192</v>
      </c>
      <c r="C64" s="82"/>
      <c r="D64" s="79"/>
      <c r="E64" s="79"/>
      <c r="F64" s="79"/>
      <c r="G64" s="79"/>
      <c r="H64" s="79"/>
      <c r="I64" s="79"/>
      <c r="J64" s="82"/>
      <c r="K64" s="82"/>
      <c r="L64" s="82"/>
      <c r="M64" s="82"/>
    </row>
    <row r="65" spans="1:13" ht="39.75" customHeight="1">
      <c r="A65" s="66" t="s">
        <v>165</v>
      </c>
      <c r="B65" s="70" t="s">
        <v>593</v>
      </c>
      <c r="C65" s="70"/>
      <c r="D65" s="67"/>
      <c r="E65" s="67"/>
      <c r="F65" s="67"/>
      <c r="G65" s="67"/>
      <c r="H65" s="67"/>
      <c r="I65" s="67"/>
      <c r="J65" s="82"/>
      <c r="K65" s="82"/>
      <c r="L65" s="82"/>
      <c r="M65" s="82"/>
    </row>
    <row r="66" spans="1:13" ht="28.5" customHeight="1">
      <c r="A66" s="65">
        <v>1</v>
      </c>
      <c r="B66" s="83" t="s">
        <v>588</v>
      </c>
      <c r="C66" s="82"/>
      <c r="D66" s="79"/>
      <c r="E66" s="79"/>
      <c r="F66" s="79"/>
      <c r="G66" s="79"/>
      <c r="H66" s="79"/>
      <c r="I66" s="79"/>
      <c r="J66" s="82"/>
      <c r="K66" s="82"/>
      <c r="L66" s="82"/>
      <c r="M66" s="82"/>
    </row>
    <row r="67" spans="1:13" ht="28.5" customHeight="1">
      <c r="A67" s="65">
        <v>2</v>
      </c>
      <c r="B67" s="83" t="s">
        <v>588</v>
      </c>
      <c r="C67" s="82"/>
      <c r="D67" s="79"/>
      <c r="E67" s="79"/>
      <c r="F67" s="79"/>
      <c r="G67" s="79"/>
      <c r="H67" s="79"/>
      <c r="I67" s="79"/>
      <c r="J67" s="82"/>
      <c r="K67" s="82"/>
      <c r="L67" s="82"/>
      <c r="M67" s="82"/>
    </row>
    <row r="68" spans="1:13" ht="28.5" customHeight="1">
      <c r="A68" s="65" t="s">
        <v>192</v>
      </c>
      <c r="B68" s="82" t="s">
        <v>192</v>
      </c>
      <c r="C68" s="82"/>
      <c r="D68" s="79"/>
      <c r="E68" s="79"/>
      <c r="F68" s="79"/>
      <c r="G68" s="79"/>
      <c r="H68" s="79"/>
      <c r="I68" s="79"/>
      <c r="J68" s="82"/>
      <c r="K68" s="82"/>
      <c r="L68" s="82"/>
      <c r="M68" s="82"/>
    </row>
    <row r="69" spans="1:13" ht="12" customHeight="1">
      <c r="A69" s="65"/>
      <c r="B69" s="82"/>
      <c r="C69" s="82"/>
      <c r="D69" s="79"/>
      <c r="E69" s="79"/>
      <c r="F69" s="79"/>
      <c r="G69" s="79"/>
      <c r="H69" s="79"/>
      <c r="I69" s="79"/>
      <c r="J69" s="82"/>
      <c r="K69" s="82"/>
      <c r="L69" s="82"/>
      <c r="M69" s="82"/>
    </row>
    <row r="71" spans="1:13">
      <c r="B71" s="84" t="s">
        <v>208</v>
      </c>
      <c r="C71" s="84"/>
    </row>
    <row r="72" spans="1:13">
      <c r="B72" s="85" t="s">
        <v>594</v>
      </c>
      <c r="C72" s="85"/>
    </row>
    <row r="81" ht="15.75" customHeight="1"/>
    <row r="82" hidden="1"/>
    <row r="83" hidden="1"/>
  </sheetData>
  <mergeCells count="14">
    <mergeCell ref="A1:F1"/>
    <mergeCell ref="A2:F2"/>
    <mergeCell ref="A3:M3"/>
    <mergeCell ref="A4:M4"/>
    <mergeCell ref="G5:M5"/>
    <mergeCell ref="A6:A8"/>
    <mergeCell ref="B6:B8"/>
    <mergeCell ref="C7:C8"/>
    <mergeCell ref="M6:M8"/>
    <mergeCell ref="C6:F6"/>
    <mergeCell ref="G6:L6"/>
    <mergeCell ref="D7:F7"/>
    <mergeCell ref="G7:I7"/>
    <mergeCell ref="J7:L7"/>
  </mergeCells>
  <pageMargins left="0.25" right="0.25" top="0.75" bottom="0.75" header="0.3" footer="0.3"/>
  <pageSetup paperSize="9" scale="81" fitToHeight="0" orientation="landscape"/>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33"/>
  <sheetViews>
    <sheetView zoomScale="70" zoomScaleNormal="70" zoomScaleSheetLayoutView="65" workbookViewId="0">
      <selection sqref="A1:Q1"/>
    </sheetView>
  </sheetViews>
  <sheetFormatPr defaultColWidth="9" defaultRowHeight="18.75"/>
  <cols>
    <col min="1" max="1" width="6" style="30" customWidth="1"/>
    <col min="2" max="2" width="44.7109375" style="36" customWidth="1"/>
    <col min="3" max="3" width="7.28515625" style="36" customWidth="1"/>
    <col min="4" max="6" width="8.7109375" style="36" customWidth="1"/>
    <col min="7" max="7" width="12.42578125" style="36" customWidth="1"/>
    <col min="8" max="8" width="8.7109375" style="36" customWidth="1"/>
    <col min="9" max="9" width="11" style="36" customWidth="1"/>
    <col min="10" max="10" width="8.7109375" style="36" customWidth="1"/>
    <col min="11" max="11" width="7.7109375" style="36" customWidth="1"/>
    <col min="12" max="14" width="8.7109375" style="36" customWidth="1"/>
    <col min="15" max="15" width="13" style="36" customWidth="1"/>
    <col min="16" max="16" width="8.7109375" style="36" customWidth="1"/>
    <col min="17" max="17" width="11" style="36" customWidth="1"/>
    <col min="18" max="18" width="9.28515625" style="36" customWidth="1"/>
    <col min="19" max="19" width="7.28515625" style="36" customWidth="1"/>
    <col min="20" max="22" width="8.7109375" style="36" customWidth="1"/>
    <col min="23" max="23" width="12.42578125" style="36" customWidth="1"/>
    <col min="24" max="24" width="8.7109375" style="36" customWidth="1"/>
    <col min="25" max="25" width="11" style="36" customWidth="1"/>
    <col min="26" max="26" width="8.7109375" style="36" customWidth="1"/>
    <col min="27" max="27" width="7.7109375" style="36" customWidth="1"/>
    <col min="28" max="30" width="9.42578125" style="36" customWidth="1"/>
    <col min="31" max="31" width="13" style="36" customWidth="1"/>
    <col min="32" max="32" width="8.7109375" style="36" customWidth="1"/>
    <col min="33" max="33" width="11" style="36" customWidth="1"/>
    <col min="34" max="34" width="9.28515625" style="36" customWidth="1"/>
    <col min="35" max="36" width="8.7109375" style="36" customWidth="1"/>
    <col min="37" max="38" width="8" style="36" customWidth="1"/>
    <col min="39" max="39" width="12.7109375" style="36" customWidth="1"/>
    <col min="40" max="40" width="8.7109375" style="36" customWidth="1"/>
    <col min="41" max="41" width="12.7109375" style="36" customWidth="1"/>
    <col min="42" max="42" width="8.7109375" style="36" customWidth="1"/>
    <col min="43" max="43" width="9.42578125" style="36" customWidth="1"/>
    <col min="44" max="256" width="9.140625" style="36"/>
    <col min="257" max="257" width="6" style="36" customWidth="1"/>
    <col min="258" max="258" width="44.7109375" style="36" customWidth="1"/>
    <col min="259" max="259" width="7.28515625" style="36" customWidth="1"/>
    <col min="260" max="262" width="8.7109375" style="36" customWidth="1"/>
    <col min="263" max="263" width="12.42578125" style="36" customWidth="1"/>
    <col min="264" max="264" width="8.7109375" style="36" customWidth="1"/>
    <col min="265" max="265" width="11" style="36" customWidth="1"/>
    <col min="266" max="266" width="8.7109375" style="36" customWidth="1"/>
    <col min="267" max="267" width="7.7109375" style="36" customWidth="1"/>
    <col min="268" max="270" width="8.7109375" style="36" customWidth="1"/>
    <col min="271" max="271" width="13" style="36" customWidth="1"/>
    <col min="272" max="272" width="8.7109375" style="36" customWidth="1"/>
    <col min="273" max="273" width="11" style="36" customWidth="1"/>
    <col min="274" max="274" width="9.28515625" style="36" customWidth="1"/>
    <col min="275" max="275" width="7.28515625" style="36" customWidth="1"/>
    <col min="276" max="278" width="8.7109375" style="36" customWidth="1"/>
    <col min="279" max="279" width="12.42578125" style="36" customWidth="1"/>
    <col min="280" max="280" width="8.7109375" style="36" customWidth="1"/>
    <col min="281" max="281" width="11" style="36" customWidth="1"/>
    <col min="282" max="282" width="8.7109375" style="36" customWidth="1"/>
    <col min="283" max="283" width="7.7109375" style="36" customWidth="1"/>
    <col min="284" max="286" width="9.42578125" style="36" customWidth="1"/>
    <col min="287" max="287" width="13" style="36" customWidth="1"/>
    <col min="288" max="288" width="8.7109375" style="36" customWidth="1"/>
    <col min="289" max="289" width="11" style="36" customWidth="1"/>
    <col min="290" max="290" width="9.28515625" style="36" customWidth="1"/>
    <col min="291" max="292" width="8.7109375" style="36" customWidth="1"/>
    <col min="293" max="294" width="8" style="36" customWidth="1"/>
    <col min="295" max="295" width="12.7109375" style="36" customWidth="1"/>
    <col min="296" max="296" width="8.7109375" style="36" customWidth="1"/>
    <col min="297" max="297" width="12.7109375" style="36" customWidth="1"/>
    <col min="298" max="298" width="8.7109375" style="36" customWidth="1"/>
    <col min="299" max="299" width="9.42578125" style="36" customWidth="1"/>
    <col min="300" max="512" width="9.140625" style="36"/>
    <col min="513" max="513" width="6" style="36" customWidth="1"/>
    <col min="514" max="514" width="44.7109375" style="36" customWidth="1"/>
    <col min="515" max="515" width="7.28515625" style="36" customWidth="1"/>
    <col min="516" max="518" width="8.7109375" style="36" customWidth="1"/>
    <col min="519" max="519" width="12.42578125" style="36" customWidth="1"/>
    <col min="520" max="520" width="8.7109375" style="36" customWidth="1"/>
    <col min="521" max="521" width="11" style="36" customWidth="1"/>
    <col min="522" max="522" width="8.7109375" style="36" customWidth="1"/>
    <col min="523" max="523" width="7.7109375" style="36" customWidth="1"/>
    <col min="524" max="526" width="8.7109375" style="36" customWidth="1"/>
    <col min="527" max="527" width="13" style="36" customWidth="1"/>
    <col min="528" max="528" width="8.7109375" style="36" customWidth="1"/>
    <col min="529" max="529" width="11" style="36" customWidth="1"/>
    <col min="530" max="530" width="9.28515625" style="36" customWidth="1"/>
    <col min="531" max="531" width="7.28515625" style="36" customWidth="1"/>
    <col min="532" max="534" width="8.7109375" style="36" customWidth="1"/>
    <col min="535" max="535" width="12.42578125" style="36" customWidth="1"/>
    <col min="536" max="536" width="8.7109375" style="36" customWidth="1"/>
    <col min="537" max="537" width="11" style="36" customWidth="1"/>
    <col min="538" max="538" width="8.7109375" style="36" customWidth="1"/>
    <col min="539" max="539" width="7.7109375" style="36" customWidth="1"/>
    <col min="540" max="542" width="9.42578125" style="36" customWidth="1"/>
    <col min="543" max="543" width="13" style="36" customWidth="1"/>
    <col min="544" max="544" width="8.7109375" style="36" customWidth="1"/>
    <col min="545" max="545" width="11" style="36" customWidth="1"/>
    <col min="546" max="546" width="9.28515625" style="36" customWidth="1"/>
    <col min="547" max="548" width="8.7109375" style="36" customWidth="1"/>
    <col min="549" max="550" width="8" style="36" customWidth="1"/>
    <col min="551" max="551" width="12.7109375" style="36" customWidth="1"/>
    <col min="552" max="552" width="8.7109375" style="36" customWidth="1"/>
    <col min="553" max="553" width="12.7109375" style="36" customWidth="1"/>
    <col min="554" max="554" width="8.7109375" style="36" customWidth="1"/>
    <col min="555" max="555" width="9.42578125" style="36" customWidth="1"/>
    <col min="556" max="768" width="9.140625" style="36"/>
    <col min="769" max="769" width="6" style="36" customWidth="1"/>
    <col min="770" max="770" width="44.7109375" style="36" customWidth="1"/>
    <col min="771" max="771" width="7.28515625" style="36" customWidth="1"/>
    <col min="772" max="774" width="8.7109375" style="36" customWidth="1"/>
    <col min="775" max="775" width="12.42578125" style="36" customWidth="1"/>
    <col min="776" max="776" width="8.7109375" style="36" customWidth="1"/>
    <col min="777" max="777" width="11" style="36" customWidth="1"/>
    <col min="778" max="778" width="8.7109375" style="36" customWidth="1"/>
    <col min="779" max="779" width="7.7109375" style="36" customWidth="1"/>
    <col min="780" max="782" width="8.7109375" style="36" customWidth="1"/>
    <col min="783" max="783" width="13" style="36" customWidth="1"/>
    <col min="784" max="784" width="8.7109375" style="36" customWidth="1"/>
    <col min="785" max="785" width="11" style="36" customWidth="1"/>
    <col min="786" max="786" width="9.28515625" style="36" customWidth="1"/>
    <col min="787" max="787" width="7.28515625" style="36" customWidth="1"/>
    <col min="788" max="790" width="8.7109375" style="36" customWidth="1"/>
    <col min="791" max="791" width="12.42578125" style="36" customWidth="1"/>
    <col min="792" max="792" width="8.7109375" style="36" customWidth="1"/>
    <col min="793" max="793" width="11" style="36" customWidth="1"/>
    <col min="794" max="794" width="8.7109375" style="36" customWidth="1"/>
    <col min="795" max="795" width="7.7109375" style="36" customWidth="1"/>
    <col min="796" max="798" width="9.42578125" style="36" customWidth="1"/>
    <col min="799" max="799" width="13" style="36" customWidth="1"/>
    <col min="800" max="800" width="8.7109375" style="36" customWidth="1"/>
    <col min="801" max="801" width="11" style="36" customWidth="1"/>
    <col min="802" max="802" width="9.28515625" style="36" customWidth="1"/>
    <col min="803" max="804" width="8.7109375" style="36" customWidth="1"/>
    <col min="805" max="806" width="8" style="36" customWidth="1"/>
    <col min="807" max="807" width="12.7109375" style="36" customWidth="1"/>
    <col min="808" max="808" width="8.7109375" style="36" customWidth="1"/>
    <col min="809" max="809" width="12.7109375" style="36" customWidth="1"/>
    <col min="810" max="810" width="8.7109375" style="36" customWidth="1"/>
    <col min="811" max="811" width="9.42578125" style="36" customWidth="1"/>
    <col min="812" max="1024" width="9.140625" style="36"/>
    <col min="1025" max="1025" width="6" style="36" customWidth="1"/>
    <col min="1026" max="1026" width="44.7109375" style="36" customWidth="1"/>
    <col min="1027" max="1027" width="7.28515625" style="36" customWidth="1"/>
    <col min="1028" max="1030" width="8.7109375" style="36" customWidth="1"/>
    <col min="1031" max="1031" width="12.42578125" style="36" customWidth="1"/>
    <col min="1032" max="1032" width="8.7109375" style="36" customWidth="1"/>
    <col min="1033" max="1033" width="11" style="36" customWidth="1"/>
    <col min="1034" max="1034" width="8.7109375" style="36" customWidth="1"/>
    <col min="1035" max="1035" width="7.7109375" style="36" customWidth="1"/>
    <col min="1036" max="1038" width="8.7109375" style="36" customWidth="1"/>
    <col min="1039" max="1039" width="13" style="36" customWidth="1"/>
    <col min="1040" max="1040" width="8.7109375" style="36" customWidth="1"/>
    <col min="1041" max="1041" width="11" style="36" customWidth="1"/>
    <col min="1042" max="1042" width="9.28515625" style="36" customWidth="1"/>
    <col min="1043" max="1043" width="7.28515625" style="36" customWidth="1"/>
    <col min="1044" max="1046" width="8.7109375" style="36" customWidth="1"/>
    <col min="1047" max="1047" width="12.42578125" style="36" customWidth="1"/>
    <col min="1048" max="1048" width="8.7109375" style="36" customWidth="1"/>
    <col min="1049" max="1049" width="11" style="36" customWidth="1"/>
    <col min="1050" max="1050" width="8.7109375" style="36" customWidth="1"/>
    <col min="1051" max="1051" width="7.7109375" style="36" customWidth="1"/>
    <col min="1052" max="1054" width="9.42578125" style="36" customWidth="1"/>
    <col min="1055" max="1055" width="13" style="36" customWidth="1"/>
    <col min="1056" max="1056" width="8.7109375" style="36" customWidth="1"/>
    <col min="1057" max="1057" width="11" style="36" customWidth="1"/>
    <col min="1058" max="1058" width="9.28515625" style="36" customWidth="1"/>
    <col min="1059" max="1060" width="8.7109375" style="36" customWidth="1"/>
    <col min="1061" max="1062" width="8" style="36" customWidth="1"/>
    <col min="1063" max="1063" width="12.7109375" style="36" customWidth="1"/>
    <col min="1064" max="1064" width="8.7109375" style="36" customWidth="1"/>
    <col min="1065" max="1065" width="12.7109375" style="36" customWidth="1"/>
    <col min="1066" max="1066" width="8.7109375" style="36" customWidth="1"/>
    <col min="1067" max="1067" width="9.42578125" style="36" customWidth="1"/>
    <col min="1068" max="1280" width="9.140625" style="36"/>
    <col min="1281" max="1281" width="6" style="36" customWidth="1"/>
    <col min="1282" max="1282" width="44.7109375" style="36" customWidth="1"/>
    <col min="1283" max="1283" width="7.28515625" style="36" customWidth="1"/>
    <col min="1284" max="1286" width="8.7109375" style="36" customWidth="1"/>
    <col min="1287" max="1287" width="12.42578125" style="36" customWidth="1"/>
    <col min="1288" max="1288" width="8.7109375" style="36" customWidth="1"/>
    <col min="1289" max="1289" width="11" style="36" customWidth="1"/>
    <col min="1290" max="1290" width="8.7109375" style="36" customWidth="1"/>
    <col min="1291" max="1291" width="7.7109375" style="36" customWidth="1"/>
    <col min="1292" max="1294" width="8.7109375" style="36" customWidth="1"/>
    <col min="1295" max="1295" width="13" style="36" customWidth="1"/>
    <col min="1296" max="1296" width="8.7109375" style="36" customWidth="1"/>
    <col min="1297" max="1297" width="11" style="36" customWidth="1"/>
    <col min="1298" max="1298" width="9.28515625" style="36" customWidth="1"/>
    <col min="1299" max="1299" width="7.28515625" style="36" customWidth="1"/>
    <col min="1300" max="1302" width="8.7109375" style="36" customWidth="1"/>
    <col min="1303" max="1303" width="12.42578125" style="36" customWidth="1"/>
    <col min="1304" max="1304" width="8.7109375" style="36" customWidth="1"/>
    <col min="1305" max="1305" width="11" style="36" customWidth="1"/>
    <col min="1306" max="1306" width="8.7109375" style="36" customWidth="1"/>
    <col min="1307" max="1307" width="7.7109375" style="36" customWidth="1"/>
    <col min="1308" max="1310" width="9.42578125" style="36" customWidth="1"/>
    <col min="1311" max="1311" width="13" style="36" customWidth="1"/>
    <col min="1312" max="1312" width="8.7109375" style="36" customWidth="1"/>
    <col min="1313" max="1313" width="11" style="36" customWidth="1"/>
    <col min="1314" max="1314" width="9.28515625" style="36" customWidth="1"/>
    <col min="1315" max="1316" width="8.7109375" style="36" customWidth="1"/>
    <col min="1317" max="1318" width="8" style="36" customWidth="1"/>
    <col min="1319" max="1319" width="12.7109375" style="36" customWidth="1"/>
    <col min="1320" max="1320" width="8.7109375" style="36" customWidth="1"/>
    <col min="1321" max="1321" width="12.7109375" style="36" customWidth="1"/>
    <col min="1322" max="1322" width="8.7109375" style="36" customWidth="1"/>
    <col min="1323" max="1323" width="9.42578125" style="36" customWidth="1"/>
    <col min="1324" max="1536" width="9.140625" style="36"/>
    <col min="1537" max="1537" width="6" style="36" customWidth="1"/>
    <col min="1538" max="1538" width="44.7109375" style="36" customWidth="1"/>
    <col min="1539" max="1539" width="7.28515625" style="36" customWidth="1"/>
    <col min="1540" max="1542" width="8.7109375" style="36" customWidth="1"/>
    <col min="1543" max="1543" width="12.42578125" style="36" customWidth="1"/>
    <col min="1544" max="1544" width="8.7109375" style="36" customWidth="1"/>
    <col min="1545" max="1545" width="11" style="36" customWidth="1"/>
    <col min="1546" max="1546" width="8.7109375" style="36" customWidth="1"/>
    <col min="1547" max="1547" width="7.7109375" style="36" customWidth="1"/>
    <col min="1548" max="1550" width="8.7109375" style="36" customWidth="1"/>
    <col min="1551" max="1551" width="13" style="36" customWidth="1"/>
    <col min="1552" max="1552" width="8.7109375" style="36" customWidth="1"/>
    <col min="1553" max="1553" width="11" style="36" customWidth="1"/>
    <col min="1554" max="1554" width="9.28515625" style="36" customWidth="1"/>
    <col min="1555" max="1555" width="7.28515625" style="36" customWidth="1"/>
    <col min="1556" max="1558" width="8.7109375" style="36" customWidth="1"/>
    <col min="1559" max="1559" width="12.42578125" style="36" customWidth="1"/>
    <col min="1560" max="1560" width="8.7109375" style="36" customWidth="1"/>
    <col min="1561" max="1561" width="11" style="36" customWidth="1"/>
    <col min="1562" max="1562" width="8.7109375" style="36" customWidth="1"/>
    <col min="1563" max="1563" width="7.7109375" style="36" customWidth="1"/>
    <col min="1564" max="1566" width="9.42578125" style="36" customWidth="1"/>
    <col min="1567" max="1567" width="13" style="36" customWidth="1"/>
    <col min="1568" max="1568" width="8.7109375" style="36" customWidth="1"/>
    <col min="1569" max="1569" width="11" style="36" customWidth="1"/>
    <col min="1570" max="1570" width="9.28515625" style="36" customWidth="1"/>
    <col min="1571" max="1572" width="8.7109375" style="36" customWidth="1"/>
    <col min="1573" max="1574" width="8" style="36" customWidth="1"/>
    <col min="1575" max="1575" width="12.7109375" style="36" customWidth="1"/>
    <col min="1576" max="1576" width="8.7109375" style="36" customWidth="1"/>
    <col min="1577" max="1577" width="12.7109375" style="36" customWidth="1"/>
    <col min="1578" max="1578" width="8.7109375" style="36" customWidth="1"/>
    <col min="1579" max="1579" width="9.42578125" style="36" customWidth="1"/>
    <col min="1580" max="1792" width="9.140625" style="36"/>
    <col min="1793" max="1793" width="6" style="36" customWidth="1"/>
    <col min="1794" max="1794" width="44.7109375" style="36" customWidth="1"/>
    <col min="1795" max="1795" width="7.28515625" style="36" customWidth="1"/>
    <col min="1796" max="1798" width="8.7109375" style="36" customWidth="1"/>
    <col min="1799" max="1799" width="12.42578125" style="36" customWidth="1"/>
    <col min="1800" max="1800" width="8.7109375" style="36" customWidth="1"/>
    <col min="1801" max="1801" width="11" style="36" customWidth="1"/>
    <col min="1802" max="1802" width="8.7109375" style="36" customWidth="1"/>
    <col min="1803" max="1803" width="7.7109375" style="36" customWidth="1"/>
    <col min="1804" max="1806" width="8.7109375" style="36" customWidth="1"/>
    <col min="1807" max="1807" width="13" style="36" customWidth="1"/>
    <col min="1808" max="1808" width="8.7109375" style="36" customWidth="1"/>
    <col min="1809" max="1809" width="11" style="36" customWidth="1"/>
    <col min="1810" max="1810" width="9.28515625" style="36" customWidth="1"/>
    <col min="1811" max="1811" width="7.28515625" style="36" customWidth="1"/>
    <col min="1812" max="1814" width="8.7109375" style="36" customWidth="1"/>
    <col min="1815" max="1815" width="12.42578125" style="36" customWidth="1"/>
    <col min="1816" max="1816" width="8.7109375" style="36" customWidth="1"/>
    <col min="1817" max="1817" width="11" style="36" customWidth="1"/>
    <col min="1818" max="1818" width="8.7109375" style="36" customWidth="1"/>
    <col min="1819" max="1819" width="7.7109375" style="36" customWidth="1"/>
    <col min="1820" max="1822" width="9.42578125" style="36" customWidth="1"/>
    <col min="1823" max="1823" width="13" style="36" customWidth="1"/>
    <col min="1824" max="1824" width="8.7109375" style="36" customWidth="1"/>
    <col min="1825" max="1825" width="11" style="36" customWidth="1"/>
    <col min="1826" max="1826" width="9.28515625" style="36" customWidth="1"/>
    <col min="1827" max="1828" width="8.7109375" style="36" customWidth="1"/>
    <col min="1829" max="1830" width="8" style="36" customWidth="1"/>
    <col min="1831" max="1831" width="12.7109375" style="36" customWidth="1"/>
    <col min="1832" max="1832" width="8.7109375" style="36" customWidth="1"/>
    <col min="1833" max="1833" width="12.7109375" style="36" customWidth="1"/>
    <col min="1834" max="1834" width="8.7109375" style="36" customWidth="1"/>
    <col min="1835" max="1835" width="9.42578125" style="36" customWidth="1"/>
    <col min="1836" max="2048" width="9.140625" style="36"/>
    <col min="2049" max="2049" width="6" style="36" customWidth="1"/>
    <col min="2050" max="2050" width="44.7109375" style="36" customWidth="1"/>
    <col min="2051" max="2051" width="7.28515625" style="36" customWidth="1"/>
    <col min="2052" max="2054" width="8.7109375" style="36" customWidth="1"/>
    <col min="2055" max="2055" width="12.42578125" style="36" customWidth="1"/>
    <col min="2056" max="2056" width="8.7109375" style="36" customWidth="1"/>
    <col min="2057" max="2057" width="11" style="36" customWidth="1"/>
    <col min="2058" max="2058" width="8.7109375" style="36" customWidth="1"/>
    <col min="2059" max="2059" width="7.7109375" style="36" customWidth="1"/>
    <col min="2060" max="2062" width="8.7109375" style="36" customWidth="1"/>
    <col min="2063" max="2063" width="13" style="36" customWidth="1"/>
    <col min="2064" max="2064" width="8.7109375" style="36" customWidth="1"/>
    <col min="2065" max="2065" width="11" style="36" customWidth="1"/>
    <col min="2066" max="2066" width="9.28515625" style="36" customWidth="1"/>
    <col min="2067" max="2067" width="7.28515625" style="36" customWidth="1"/>
    <col min="2068" max="2070" width="8.7109375" style="36" customWidth="1"/>
    <col min="2071" max="2071" width="12.42578125" style="36" customWidth="1"/>
    <col min="2072" max="2072" width="8.7109375" style="36" customWidth="1"/>
    <col min="2073" max="2073" width="11" style="36" customWidth="1"/>
    <col min="2074" max="2074" width="8.7109375" style="36" customWidth="1"/>
    <col min="2075" max="2075" width="7.7109375" style="36" customWidth="1"/>
    <col min="2076" max="2078" width="9.42578125" style="36" customWidth="1"/>
    <col min="2079" max="2079" width="13" style="36" customWidth="1"/>
    <col min="2080" max="2080" width="8.7109375" style="36" customWidth="1"/>
    <col min="2081" max="2081" width="11" style="36" customWidth="1"/>
    <col min="2082" max="2082" width="9.28515625" style="36" customWidth="1"/>
    <col min="2083" max="2084" width="8.7109375" style="36" customWidth="1"/>
    <col min="2085" max="2086" width="8" style="36" customWidth="1"/>
    <col min="2087" max="2087" width="12.7109375" style="36" customWidth="1"/>
    <col min="2088" max="2088" width="8.7109375" style="36" customWidth="1"/>
    <col min="2089" max="2089" width="12.7109375" style="36" customWidth="1"/>
    <col min="2090" max="2090" width="8.7109375" style="36" customWidth="1"/>
    <col min="2091" max="2091" width="9.42578125" style="36" customWidth="1"/>
    <col min="2092" max="2304" width="9.140625" style="36"/>
    <col min="2305" max="2305" width="6" style="36" customWidth="1"/>
    <col min="2306" max="2306" width="44.7109375" style="36" customWidth="1"/>
    <col min="2307" max="2307" width="7.28515625" style="36" customWidth="1"/>
    <col min="2308" max="2310" width="8.7109375" style="36" customWidth="1"/>
    <col min="2311" max="2311" width="12.42578125" style="36" customWidth="1"/>
    <col min="2312" max="2312" width="8.7109375" style="36" customWidth="1"/>
    <col min="2313" max="2313" width="11" style="36" customWidth="1"/>
    <col min="2314" max="2314" width="8.7109375" style="36" customWidth="1"/>
    <col min="2315" max="2315" width="7.7109375" style="36" customWidth="1"/>
    <col min="2316" max="2318" width="8.7109375" style="36" customWidth="1"/>
    <col min="2319" max="2319" width="13" style="36" customWidth="1"/>
    <col min="2320" max="2320" width="8.7109375" style="36" customWidth="1"/>
    <col min="2321" max="2321" width="11" style="36" customWidth="1"/>
    <col min="2322" max="2322" width="9.28515625" style="36" customWidth="1"/>
    <col min="2323" max="2323" width="7.28515625" style="36" customWidth="1"/>
    <col min="2324" max="2326" width="8.7109375" style="36" customWidth="1"/>
    <col min="2327" max="2327" width="12.42578125" style="36" customWidth="1"/>
    <col min="2328" max="2328" width="8.7109375" style="36" customWidth="1"/>
    <col min="2329" max="2329" width="11" style="36" customWidth="1"/>
    <col min="2330" max="2330" width="8.7109375" style="36" customWidth="1"/>
    <col min="2331" max="2331" width="7.7109375" style="36" customWidth="1"/>
    <col min="2332" max="2334" width="9.42578125" style="36" customWidth="1"/>
    <col min="2335" max="2335" width="13" style="36" customWidth="1"/>
    <col min="2336" max="2336" width="8.7109375" style="36" customWidth="1"/>
    <col min="2337" max="2337" width="11" style="36" customWidth="1"/>
    <col min="2338" max="2338" width="9.28515625" style="36" customWidth="1"/>
    <col min="2339" max="2340" width="8.7109375" style="36" customWidth="1"/>
    <col min="2341" max="2342" width="8" style="36" customWidth="1"/>
    <col min="2343" max="2343" width="12.7109375" style="36" customWidth="1"/>
    <col min="2344" max="2344" width="8.7109375" style="36" customWidth="1"/>
    <col min="2345" max="2345" width="12.7109375" style="36" customWidth="1"/>
    <col min="2346" max="2346" width="8.7109375" style="36" customWidth="1"/>
    <col min="2347" max="2347" width="9.42578125" style="36" customWidth="1"/>
    <col min="2348" max="2560" width="9.140625" style="36"/>
    <col min="2561" max="2561" width="6" style="36" customWidth="1"/>
    <col min="2562" max="2562" width="44.7109375" style="36" customWidth="1"/>
    <col min="2563" max="2563" width="7.28515625" style="36" customWidth="1"/>
    <col min="2564" max="2566" width="8.7109375" style="36" customWidth="1"/>
    <col min="2567" max="2567" width="12.42578125" style="36" customWidth="1"/>
    <col min="2568" max="2568" width="8.7109375" style="36" customWidth="1"/>
    <col min="2569" max="2569" width="11" style="36" customWidth="1"/>
    <col min="2570" max="2570" width="8.7109375" style="36" customWidth="1"/>
    <col min="2571" max="2571" width="7.7109375" style="36" customWidth="1"/>
    <col min="2572" max="2574" width="8.7109375" style="36" customWidth="1"/>
    <col min="2575" max="2575" width="13" style="36" customWidth="1"/>
    <col min="2576" max="2576" width="8.7109375" style="36" customWidth="1"/>
    <col min="2577" max="2577" width="11" style="36" customWidth="1"/>
    <col min="2578" max="2578" width="9.28515625" style="36" customWidth="1"/>
    <col min="2579" max="2579" width="7.28515625" style="36" customWidth="1"/>
    <col min="2580" max="2582" width="8.7109375" style="36" customWidth="1"/>
    <col min="2583" max="2583" width="12.42578125" style="36" customWidth="1"/>
    <col min="2584" max="2584" width="8.7109375" style="36" customWidth="1"/>
    <col min="2585" max="2585" width="11" style="36" customWidth="1"/>
    <col min="2586" max="2586" width="8.7109375" style="36" customWidth="1"/>
    <col min="2587" max="2587" width="7.7109375" style="36" customWidth="1"/>
    <col min="2588" max="2590" width="9.42578125" style="36" customWidth="1"/>
    <col min="2591" max="2591" width="13" style="36" customWidth="1"/>
    <col min="2592" max="2592" width="8.7109375" style="36" customWidth="1"/>
    <col min="2593" max="2593" width="11" style="36" customWidth="1"/>
    <col min="2594" max="2594" width="9.28515625" style="36" customWidth="1"/>
    <col min="2595" max="2596" width="8.7109375" style="36" customWidth="1"/>
    <col min="2597" max="2598" width="8" style="36" customWidth="1"/>
    <col min="2599" max="2599" width="12.7109375" style="36" customWidth="1"/>
    <col min="2600" max="2600" width="8.7109375" style="36" customWidth="1"/>
    <col min="2601" max="2601" width="12.7109375" style="36" customWidth="1"/>
    <col min="2602" max="2602" width="8.7109375" style="36" customWidth="1"/>
    <col min="2603" max="2603" width="9.42578125" style="36" customWidth="1"/>
    <col min="2604" max="2816" width="9.140625" style="36"/>
    <col min="2817" max="2817" width="6" style="36" customWidth="1"/>
    <col min="2818" max="2818" width="44.7109375" style="36" customWidth="1"/>
    <col min="2819" max="2819" width="7.28515625" style="36" customWidth="1"/>
    <col min="2820" max="2822" width="8.7109375" style="36" customWidth="1"/>
    <col min="2823" max="2823" width="12.42578125" style="36" customWidth="1"/>
    <col min="2824" max="2824" width="8.7109375" style="36" customWidth="1"/>
    <col min="2825" max="2825" width="11" style="36" customWidth="1"/>
    <col min="2826" max="2826" width="8.7109375" style="36" customWidth="1"/>
    <col min="2827" max="2827" width="7.7109375" style="36" customWidth="1"/>
    <col min="2828" max="2830" width="8.7109375" style="36" customWidth="1"/>
    <col min="2831" max="2831" width="13" style="36" customWidth="1"/>
    <col min="2832" max="2832" width="8.7109375" style="36" customWidth="1"/>
    <col min="2833" max="2833" width="11" style="36" customWidth="1"/>
    <col min="2834" max="2834" width="9.28515625" style="36" customWidth="1"/>
    <col min="2835" max="2835" width="7.28515625" style="36" customWidth="1"/>
    <col min="2836" max="2838" width="8.7109375" style="36" customWidth="1"/>
    <col min="2839" max="2839" width="12.42578125" style="36" customWidth="1"/>
    <col min="2840" max="2840" width="8.7109375" style="36" customWidth="1"/>
    <col min="2841" max="2841" width="11" style="36" customWidth="1"/>
    <col min="2842" max="2842" width="8.7109375" style="36" customWidth="1"/>
    <col min="2843" max="2843" width="7.7109375" style="36" customWidth="1"/>
    <col min="2844" max="2846" width="9.42578125" style="36" customWidth="1"/>
    <col min="2847" max="2847" width="13" style="36" customWidth="1"/>
    <col min="2848" max="2848" width="8.7109375" style="36" customWidth="1"/>
    <col min="2849" max="2849" width="11" style="36" customWidth="1"/>
    <col min="2850" max="2850" width="9.28515625" style="36" customWidth="1"/>
    <col min="2851" max="2852" width="8.7109375" style="36" customWidth="1"/>
    <col min="2853" max="2854" width="8" style="36" customWidth="1"/>
    <col min="2855" max="2855" width="12.7109375" style="36" customWidth="1"/>
    <col min="2856" max="2856" width="8.7109375" style="36" customWidth="1"/>
    <col min="2857" max="2857" width="12.7109375" style="36" customWidth="1"/>
    <col min="2858" max="2858" width="8.7109375" style="36" customWidth="1"/>
    <col min="2859" max="2859" width="9.42578125" style="36" customWidth="1"/>
    <col min="2860" max="3072" width="9.140625" style="36"/>
    <col min="3073" max="3073" width="6" style="36" customWidth="1"/>
    <col min="3074" max="3074" width="44.7109375" style="36" customWidth="1"/>
    <col min="3075" max="3075" width="7.28515625" style="36" customWidth="1"/>
    <col min="3076" max="3078" width="8.7109375" style="36" customWidth="1"/>
    <col min="3079" max="3079" width="12.42578125" style="36" customWidth="1"/>
    <col min="3080" max="3080" width="8.7109375" style="36" customWidth="1"/>
    <col min="3081" max="3081" width="11" style="36" customWidth="1"/>
    <col min="3082" max="3082" width="8.7109375" style="36" customWidth="1"/>
    <col min="3083" max="3083" width="7.7109375" style="36" customWidth="1"/>
    <col min="3084" max="3086" width="8.7109375" style="36" customWidth="1"/>
    <col min="3087" max="3087" width="13" style="36" customWidth="1"/>
    <col min="3088" max="3088" width="8.7109375" style="36" customWidth="1"/>
    <col min="3089" max="3089" width="11" style="36" customWidth="1"/>
    <col min="3090" max="3090" width="9.28515625" style="36" customWidth="1"/>
    <col min="3091" max="3091" width="7.28515625" style="36" customWidth="1"/>
    <col min="3092" max="3094" width="8.7109375" style="36" customWidth="1"/>
    <col min="3095" max="3095" width="12.42578125" style="36" customWidth="1"/>
    <col min="3096" max="3096" width="8.7109375" style="36" customWidth="1"/>
    <col min="3097" max="3097" width="11" style="36" customWidth="1"/>
    <col min="3098" max="3098" width="8.7109375" style="36" customWidth="1"/>
    <col min="3099" max="3099" width="7.7109375" style="36" customWidth="1"/>
    <col min="3100" max="3102" width="9.42578125" style="36" customWidth="1"/>
    <col min="3103" max="3103" width="13" style="36" customWidth="1"/>
    <col min="3104" max="3104" width="8.7109375" style="36" customWidth="1"/>
    <col min="3105" max="3105" width="11" style="36" customWidth="1"/>
    <col min="3106" max="3106" width="9.28515625" style="36" customWidth="1"/>
    <col min="3107" max="3108" width="8.7109375" style="36" customWidth="1"/>
    <col min="3109" max="3110" width="8" style="36" customWidth="1"/>
    <col min="3111" max="3111" width="12.7109375" style="36" customWidth="1"/>
    <col min="3112" max="3112" width="8.7109375" style="36" customWidth="1"/>
    <col min="3113" max="3113" width="12.7109375" style="36" customWidth="1"/>
    <col min="3114" max="3114" width="8.7109375" style="36" customWidth="1"/>
    <col min="3115" max="3115" width="9.42578125" style="36" customWidth="1"/>
    <col min="3116" max="3328" width="9.140625" style="36"/>
    <col min="3329" max="3329" width="6" style="36" customWidth="1"/>
    <col min="3330" max="3330" width="44.7109375" style="36" customWidth="1"/>
    <col min="3331" max="3331" width="7.28515625" style="36" customWidth="1"/>
    <col min="3332" max="3334" width="8.7109375" style="36" customWidth="1"/>
    <col min="3335" max="3335" width="12.42578125" style="36" customWidth="1"/>
    <col min="3336" max="3336" width="8.7109375" style="36" customWidth="1"/>
    <col min="3337" max="3337" width="11" style="36" customWidth="1"/>
    <col min="3338" max="3338" width="8.7109375" style="36" customWidth="1"/>
    <col min="3339" max="3339" width="7.7109375" style="36" customWidth="1"/>
    <col min="3340" max="3342" width="8.7109375" style="36" customWidth="1"/>
    <col min="3343" max="3343" width="13" style="36" customWidth="1"/>
    <col min="3344" max="3344" width="8.7109375" style="36" customWidth="1"/>
    <col min="3345" max="3345" width="11" style="36" customWidth="1"/>
    <col min="3346" max="3346" width="9.28515625" style="36" customWidth="1"/>
    <col min="3347" max="3347" width="7.28515625" style="36" customWidth="1"/>
    <col min="3348" max="3350" width="8.7109375" style="36" customWidth="1"/>
    <col min="3351" max="3351" width="12.42578125" style="36" customWidth="1"/>
    <col min="3352" max="3352" width="8.7109375" style="36" customWidth="1"/>
    <col min="3353" max="3353" width="11" style="36" customWidth="1"/>
    <col min="3354" max="3354" width="8.7109375" style="36" customWidth="1"/>
    <col min="3355" max="3355" width="7.7109375" style="36" customWidth="1"/>
    <col min="3356" max="3358" width="9.42578125" style="36" customWidth="1"/>
    <col min="3359" max="3359" width="13" style="36" customWidth="1"/>
    <col min="3360" max="3360" width="8.7109375" style="36" customWidth="1"/>
    <col min="3361" max="3361" width="11" style="36" customWidth="1"/>
    <col min="3362" max="3362" width="9.28515625" style="36" customWidth="1"/>
    <col min="3363" max="3364" width="8.7109375" style="36" customWidth="1"/>
    <col min="3365" max="3366" width="8" style="36" customWidth="1"/>
    <col min="3367" max="3367" width="12.7109375" style="36" customWidth="1"/>
    <col min="3368" max="3368" width="8.7109375" style="36" customWidth="1"/>
    <col min="3369" max="3369" width="12.7109375" style="36" customWidth="1"/>
    <col min="3370" max="3370" width="8.7109375" style="36" customWidth="1"/>
    <col min="3371" max="3371" width="9.42578125" style="36" customWidth="1"/>
    <col min="3372" max="3584" width="9.140625" style="36"/>
    <col min="3585" max="3585" width="6" style="36" customWidth="1"/>
    <col min="3586" max="3586" width="44.7109375" style="36" customWidth="1"/>
    <col min="3587" max="3587" width="7.28515625" style="36" customWidth="1"/>
    <col min="3588" max="3590" width="8.7109375" style="36" customWidth="1"/>
    <col min="3591" max="3591" width="12.42578125" style="36" customWidth="1"/>
    <col min="3592" max="3592" width="8.7109375" style="36" customWidth="1"/>
    <col min="3593" max="3593" width="11" style="36" customWidth="1"/>
    <col min="3594" max="3594" width="8.7109375" style="36" customWidth="1"/>
    <col min="3595" max="3595" width="7.7109375" style="36" customWidth="1"/>
    <col min="3596" max="3598" width="8.7109375" style="36" customWidth="1"/>
    <col min="3599" max="3599" width="13" style="36" customWidth="1"/>
    <col min="3600" max="3600" width="8.7109375" style="36" customWidth="1"/>
    <col min="3601" max="3601" width="11" style="36" customWidth="1"/>
    <col min="3602" max="3602" width="9.28515625" style="36" customWidth="1"/>
    <col min="3603" max="3603" width="7.28515625" style="36" customWidth="1"/>
    <col min="3604" max="3606" width="8.7109375" style="36" customWidth="1"/>
    <col min="3607" max="3607" width="12.42578125" style="36" customWidth="1"/>
    <col min="3608" max="3608" width="8.7109375" style="36" customWidth="1"/>
    <col min="3609" max="3609" width="11" style="36" customWidth="1"/>
    <col min="3610" max="3610" width="8.7109375" style="36" customWidth="1"/>
    <col min="3611" max="3611" width="7.7109375" style="36" customWidth="1"/>
    <col min="3612" max="3614" width="9.42578125" style="36" customWidth="1"/>
    <col min="3615" max="3615" width="13" style="36" customWidth="1"/>
    <col min="3616" max="3616" width="8.7109375" style="36" customWidth="1"/>
    <col min="3617" max="3617" width="11" style="36" customWidth="1"/>
    <col min="3618" max="3618" width="9.28515625" style="36" customWidth="1"/>
    <col min="3619" max="3620" width="8.7109375" style="36" customWidth="1"/>
    <col min="3621" max="3622" width="8" style="36" customWidth="1"/>
    <col min="3623" max="3623" width="12.7109375" style="36" customWidth="1"/>
    <col min="3624" max="3624" width="8.7109375" style="36" customWidth="1"/>
    <col min="3625" max="3625" width="12.7109375" style="36" customWidth="1"/>
    <col min="3626" max="3626" width="8.7109375" style="36" customWidth="1"/>
    <col min="3627" max="3627" width="9.42578125" style="36" customWidth="1"/>
    <col min="3628" max="3840" width="9.140625" style="36"/>
    <col min="3841" max="3841" width="6" style="36" customWidth="1"/>
    <col min="3842" max="3842" width="44.7109375" style="36" customWidth="1"/>
    <col min="3843" max="3843" width="7.28515625" style="36" customWidth="1"/>
    <col min="3844" max="3846" width="8.7109375" style="36" customWidth="1"/>
    <col min="3847" max="3847" width="12.42578125" style="36" customWidth="1"/>
    <col min="3848" max="3848" width="8.7109375" style="36" customWidth="1"/>
    <col min="3849" max="3849" width="11" style="36" customWidth="1"/>
    <col min="3850" max="3850" width="8.7109375" style="36" customWidth="1"/>
    <col min="3851" max="3851" width="7.7109375" style="36" customWidth="1"/>
    <col min="3852" max="3854" width="8.7109375" style="36" customWidth="1"/>
    <col min="3855" max="3855" width="13" style="36" customWidth="1"/>
    <col min="3856" max="3856" width="8.7109375" style="36" customWidth="1"/>
    <col min="3857" max="3857" width="11" style="36" customWidth="1"/>
    <col min="3858" max="3858" width="9.28515625" style="36" customWidth="1"/>
    <col min="3859" max="3859" width="7.28515625" style="36" customWidth="1"/>
    <col min="3860" max="3862" width="8.7109375" style="36" customWidth="1"/>
    <col min="3863" max="3863" width="12.42578125" style="36" customWidth="1"/>
    <col min="3864" max="3864" width="8.7109375" style="36" customWidth="1"/>
    <col min="3865" max="3865" width="11" style="36" customWidth="1"/>
    <col min="3866" max="3866" width="8.7109375" style="36" customWidth="1"/>
    <col min="3867" max="3867" width="7.7109375" style="36" customWidth="1"/>
    <col min="3868" max="3870" width="9.42578125" style="36" customWidth="1"/>
    <col min="3871" max="3871" width="13" style="36" customWidth="1"/>
    <col min="3872" max="3872" width="8.7109375" style="36" customWidth="1"/>
    <col min="3873" max="3873" width="11" style="36" customWidth="1"/>
    <col min="3874" max="3874" width="9.28515625" style="36" customWidth="1"/>
    <col min="3875" max="3876" width="8.7109375" style="36" customWidth="1"/>
    <col min="3877" max="3878" width="8" style="36" customWidth="1"/>
    <col min="3879" max="3879" width="12.7109375" style="36" customWidth="1"/>
    <col min="3880" max="3880" width="8.7109375" style="36" customWidth="1"/>
    <col min="3881" max="3881" width="12.7109375" style="36" customWidth="1"/>
    <col min="3882" max="3882" width="8.7109375" style="36" customWidth="1"/>
    <col min="3883" max="3883" width="9.42578125" style="36" customWidth="1"/>
    <col min="3884" max="4096" width="9.140625" style="36"/>
    <col min="4097" max="4097" width="6" style="36" customWidth="1"/>
    <col min="4098" max="4098" width="44.7109375" style="36" customWidth="1"/>
    <col min="4099" max="4099" width="7.28515625" style="36" customWidth="1"/>
    <col min="4100" max="4102" width="8.7109375" style="36" customWidth="1"/>
    <col min="4103" max="4103" width="12.42578125" style="36" customWidth="1"/>
    <col min="4104" max="4104" width="8.7109375" style="36" customWidth="1"/>
    <col min="4105" max="4105" width="11" style="36" customWidth="1"/>
    <col min="4106" max="4106" width="8.7109375" style="36" customWidth="1"/>
    <col min="4107" max="4107" width="7.7109375" style="36" customWidth="1"/>
    <col min="4108" max="4110" width="8.7109375" style="36" customWidth="1"/>
    <col min="4111" max="4111" width="13" style="36" customWidth="1"/>
    <col min="4112" max="4112" width="8.7109375" style="36" customWidth="1"/>
    <col min="4113" max="4113" width="11" style="36" customWidth="1"/>
    <col min="4114" max="4114" width="9.28515625" style="36" customWidth="1"/>
    <col min="4115" max="4115" width="7.28515625" style="36" customWidth="1"/>
    <col min="4116" max="4118" width="8.7109375" style="36" customWidth="1"/>
    <col min="4119" max="4119" width="12.42578125" style="36" customWidth="1"/>
    <col min="4120" max="4120" width="8.7109375" style="36" customWidth="1"/>
    <col min="4121" max="4121" width="11" style="36" customWidth="1"/>
    <col min="4122" max="4122" width="8.7109375" style="36" customWidth="1"/>
    <col min="4123" max="4123" width="7.7109375" style="36" customWidth="1"/>
    <col min="4124" max="4126" width="9.42578125" style="36" customWidth="1"/>
    <col min="4127" max="4127" width="13" style="36" customWidth="1"/>
    <col min="4128" max="4128" width="8.7109375" style="36" customWidth="1"/>
    <col min="4129" max="4129" width="11" style="36" customWidth="1"/>
    <col min="4130" max="4130" width="9.28515625" style="36" customWidth="1"/>
    <col min="4131" max="4132" width="8.7109375" style="36" customWidth="1"/>
    <col min="4133" max="4134" width="8" style="36" customWidth="1"/>
    <col min="4135" max="4135" width="12.7109375" style="36" customWidth="1"/>
    <col min="4136" max="4136" width="8.7109375" style="36" customWidth="1"/>
    <col min="4137" max="4137" width="12.7109375" style="36" customWidth="1"/>
    <col min="4138" max="4138" width="8.7109375" style="36" customWidth="1"/>
    <col min="4139" max="4139" width="9.42578125" style="36" customWidth="1"/>
    <col min="4140" max="4352" width="9.140625" style="36"/>
    <col min="4353" max="4353" width="6" style="36" customWidth="1"/>
    <col min="4354" max="4354" width="44.7109375" style="36" customWidth="1"/>
    <col min="4355" max="4355" width="7.28515625" style="36" customWidth="1"/>
    <col min="4356" max="4358" width="8.7109375" style="36" customWidth="1"/>
    <col min="4359" max="4359" width="12.42578125" style="36" customWidth="1"/>
    <col min="4360" max="4360" width="8.7109375" style="36" customWidth="1"/>
    <col min="4361" max="4361" width="11" style="36" customWidth="1"/>
    <col min="4362" max="4362" width="8.7109375" style="36" customWidth="1"/>
    <col min="4363" max="4363" width="7.7109375" style="36" customWidth="1"/>
    <col min="4364" max="4366" width="8.7109375" style="36" customWidth="1"/>
    <col min="4367" max="4367" width="13" style="36" customWidth="1"/>
    <col min="4368" max="4368" width="8.7109375" style="36" customWidth="1"/>
    <col min="4369" max="4369" width="11" style="36" customWidth="1"/>
    <col min="4370" max="4370" width="9.28515625" style="36" customWidth="1"/>
    <col min="4371" max="4371" width="7.28515625" style="36" customWidth="1"/>
    <col min="4372" max="4374" width="8.7109375" style="36" customWidth="1"/>
    <col min="4375" max="4375" width="12.42578125" style="36" customWidth="1"/>
    <col min="4376" max="4376" width="8.7109375" style="36" customWidth="1"/>
    <col min="4377" max="4377" width="11" style="36" customWidth="1"/>
    <col min="4378" max="4378" width="8.7109375" style="36" customWidth="1"/>
    <col min="4379" max="4379" width="7.7109375" style="36" customWidth="1"/>
    <col min="4380" max="4382" width="9.42578125" style="36" customWidth="1"/>
    <col min="4383" max="4383" width="13" style="36" customWidth="1"/>
    <col min="4384" max="4384" width="8.7109375" style="36" customWidth="1"/>
    <col min="4385" max="4385" width="11" style="36" customWidth="1"/>
    <col min="4386" max="4386" width="9.28515625" style="36" customWidth="1"/>
    <col min="4387" max="4388" width="8.7109375" style="36" customWidth="1"/>
    <col min="4389" max="4390" width="8" style="36" customWidth="1"/>
    <col min="4391" max="4391" width="12.7109375" style="36" customWidth="1"/>
    <col min="4392" max="4392" width="8.7109375" style="36" customWidth="1"/>
    <col min="4393" max="4393" width="12.7109375" style="36" customWidth="1"/>
    <col min="4394" max="4394" width="8.7109375" style="36" customWidth="1"/>
    <col min="4395" max="4395" width="9.42578125" style="36" customWidth="1"/>
    <col min="4396" max="4608" width="9.140625" style="36"/>
    <col min="4609" max="4609" width="6" style="36" customWidth="1"/>
    <col min="4610" max="4610" width="44.7109375" style="36" customWidth="1"/>
    <col min="4611" max="4611" width="7.28515625" style="36" customWidth="1"/>
    <col min="4612" max="4614" width="8.7109375" style="36" customWidth="1"/>
    <col min="4615" max="4615" width="12.42578125" style="36" customWidth="1"/>
    <col min="4616" max="4616" width="8.7109375" style="36" customWidth="1"/>
    <col min="4617" max="4617" width="11" style="36" customWidth="1"/>
    <col min="4618" max="4618" width="8.7109375" style="36" customWidth="1"/>
    <col min="4619" max="4619" width="7.7109375" style="36" customWidth="1"/>
    <col min="4620" max="4622" width="8.7109375" style="36" customWidth="1"/>
    <col min="4623" max="4623" width="13" style="36" customWidth="1"/>
    <col min="4624" max="4624" width="8.7109375" style="36" customWidth="1"/>
    <col min="4625" max="4625" width="11" style="36" customWidth="1"/>
    <col min="4626" max="4626" width="9.28515625" style="36" customWidth="1"/>
    <col min="4627" max="4627" width="7.28515625" style="36" customWidth="1"/>
    <col min="4628" max="4630" width="8.7109375" style="36" customWidth="1"/>
    <col min="4631" max="4631" width="12.42578125" style="36" customWidth="1"/>
    <col min="4632" max="4632" width="8.7109375" style="36" customWidth="1"/>
    <col min="4633" max="4633" width="11" style="36" customWidth="1"/>
    <col min="4634" max="4634" width="8.7109375" style="36" customWidth="1"/>
    <col min="4635" max="4635" width="7.7109375" style="36" customWidth="1"/>
    <col min="4636" max="4638" width="9.42578125" style="36" customWidth="1"/>
    <col min="4639" max="4639" width="13" style="36" customWidth="1"/>
    <col min="4640" max="4640" width="8.7109375" style="36" customWidth="1"/>
    <col min="4641" max="4641" width="11" style="36" customWidth="1"/>
    <col min="4642" max="4642" width="9.28515625" style="36" customWidth="1"/>
    <col min="4643" max="4644" width="8.7109375" style="36" customWidth="1"/>
    <col min="4645" max="4646" width="8" style="36" customWidth="1"/>
    <col min="4647" max="4647" width="12.7109375" style="36" customWidth="1"/>
    <col min="4648" max="4648" width="8.7109375" style="36" customWidth="1"/>
    <col min="4649" max="4649" width="12.7109375" style="36" customWidth="1"/>
    <col min="4650" max="4650" width="8.7109375" style="36" customWidth="1"/>
    <col min="4651" max="4651" width="9.42578125" style="36" customWidth="1"/>
    <col min="4652" max="4864" width="9.140625" style="36"/>
    <col min="4865" max="4865" width="6" style="36" customWidth="1"/>
    <col min="4866" max="4866" width="44.7109375" style="36" customWidth="1"/>
    <col min="4867" max="4867" width="7.28515625" style="36" customWidth="1"/>
    <col min="4868" max="4870" width="8.7109375" style="36" customWidth="1"/>
    <col min="4871" max="4871" width="12.42578125" style="36" customWidth="1"/>
    <col min="4872" max="4872" width="8.7109375" style="36" customWidth="1"/>
    <col min="4873" max="4873" width="11" style="36" customWidth="1"/>
    <col min="4874" max="4874" width="8.7109375" style="36" customWidth="1"/>
    <col min="4875" max="4875" width="7.7109375" style="36" customWidth="1"/>
    <col min="4876" max="4878" width="8.7109375" style="36" customWidth="1"/>
    <col min="4879" max="4879" width="13" style="36" customWidth="1"/>
    <col min="4880" max="4880" width="8.7109375" style="36" customWidth="1"/>
    <col min="4881" max="4881" width="11" style="36" customWidth="1"/>
    <col min="4882" max="4882" width="9.28515625" style="36" customWidth="1"/>
    <col min="4883" max="4883" width="7.28515625" style="36" customWidth="1"/>
    <col min="4884" max="4886" width="8.7109375" style="36" customWidth="1"/>
    <col min="4887" max="4887" width="12.42578125" style="36" customWidth="1"/>
    <col min="4888" max="4888" width="8.7109375" style="36" customWidth="1"/>
    <col min="4889" max="4889" width="11" style="36" customWidth="1"/>
    <col min="4890" max="4890" width="8.7109375" style="36" customWidth="1"/>
    <col min="4891" max="4891" width="7.7109375" style="36" customWidth="1"/>
    <col min="4892" max="4894" width="9.42578125" style="36" customWidth="1"/>
    <col min="4895" max="4895" width="13" style="36" customWidth="1"/>
    <col min="4896" max="4896" width="8.7109375" style="36" customWidth="1"/>
    <col min="4897" max="4897" width="11" style="36" customWidth="1"/>
    <col min="4898" max="4898" width="9.28515625" style="36" customWidth="1"/>
    <col min="4899" max="4900" width="8.7109375" style="36" customWidth="1"/>
    <col min="4901" max="4902" width="8" style="36" customWidth="1"/>
    <col min="4903" max="4903" width="12.7109375" style="36" customWidth="1"/>
    <col min="4904" max="4904" width="8.7109375" style="36" customWidth="1"/>
    <col min="4905" max="4905" width="12.7109375" style="36" customWidth="1"/>
    <col min="4906" max="4906" width="8.7109375" style="36" customWidth="1"/>
    <col min="4907" max="4907" width="9.42578125" style="36" customWidth="1"/>
    <col min="4908" max="5120" width="9.140625" style="36"/>
    <col min="5121" max="5121" width="6" style="36" customWidth="1"/>
    <col min="5122" max="5122" width="44.7109375" style="36" customWidth="1"/>
    <col min="5123" max="5123" width="7.28515625" style="36" customWidth="1"/>
    <col min="5124" max="5126" width="8.7109375" style="36" customWidth="1"/>
    <col min="5127" max="5127" width="12.42578125" style="36" customWidth="1"/>
    <col min="5128" max="5128" width="8.7109375" style="36" customWidth="1"/>
    <col min="5129" max="5129" width="11" style="36" customWidth="1"/>
    <col min="5130" max="5130" width="8.7109375" style="36" customWidth="1"/>
    <col min="5131" max="5131" width="7.7109375" style="36" customWidth="1"/>
    <col min="5132" max="5134" width="8.7109375" style="36" customWidth="1"/>
    <col min="5135" max="5135" width="13" style="36" customWidth="1"/>
    <col min="5136" max="5136" width="8.7109375" style="36" customWidth="1"/>
    <col min="5137" max="5137" width="11" style="36" customWidth="1"/>
    <col min="5138" max="5138" width="9.28515625" style="36" customWidth="1"/>
    <col min="5139" max="5139" width="7.28515625" style="36" customWidth="1"/>
    <col min="5140" max="5142" width="8.7109375" style="36" customWidth="1"/>
    <col min="5143" max="5143" width="12.42578125" style="36" customWidth="1"/>
    <col min="5144" max="5144" width="8.7109375" style="36" customWidth="1"/>
    <col min="5145" max="5145" width="11" style="36" customWidth="1"/>
    <col min="5146" max="5146" width="8.7109375" style="36" customWidth="1"/>
    <col min="5147" max="5147" width="7.7109375" style="36" customWidth="1"/>
    <col min="5148" max="5150" width="9.42578125" style="36" customWidth="1"/>
    <col min="5151" max="5151" width="13" style="36" customWidth="1"/>
    <col min="5152" max="5152" width="8.7109375" style="36" customWidth="1"/>
    <col min="5153" max="5153" width="11" style="36" customWidth="1"/>
    <col min="5154" max="5154" width="9.28515625" style="36" customWidth="1"/>
    <col min="5155" max="5156" width="8.7109375" style="36" customWidth="1"/>
    <col min="5157" max="5158" width="8" style="36" customWidth="1"/>
    <col min="5159" max="5159" width="12.7109375" style="36" customWidth="1"/>
    <col min="5160" max="5160" width="8.7109375" style="36" customWidth="1"/>
    <col min="5161" max="5161" width="12.7109375" style="36" customWidth="1"/>
    <col min="5162" max="5162" width="8.7109375" style="36" customWidth="1"/>
    <col min="5163" max="5163" width="9.42578125" style="36" customWidth="1"/>
    <col min="5164" max="5376" width="9.140625" style="36"/>
    <col min="5377" max="5377" width="6" style="36" customWidth="1"/>
    <col min="5378" max="5378" width="44.7109375" style="36" customWidth="1"/>
    <col min="5379" max="5379" width="7.28515625" style="36" customWidth="1"/>
    <col min="5380" max="5382" width="8.7109375" style="36" customWidth="1"/>
    <col min="5383" max="5383" width="12.42578125" style="36" customWidth="1"/>
    <col min="5384" max="5384" width="8.7109375" style="36" customWidth="1"/>
    <col min="5385" max="5385" width="11" style="36" customWidth="1"/>
    <col min="5386" max="5386" width="8.7109375" style="36" customWidth="1"/>
    <col min="5387" max="5387" width="7.7109375" style="36" customWidth="1"/>
    <col min="5388" max="5390" width="8.7109375" style="36" customWidth="1"/>
    <col min="5391" max="5391" width="13" style="36" customWidth="1"/>
    <col min="5392" max="5392" width="8.7109375" style="36" customWidth="1"/>
    <col min="5393" max="5393" width="11" style="36" customWidth="1"/>
    <col min="5394" max="5394" width="9.28515625" style="36" customWidth="1"/>
    <col min="5395" max="5395" width="7.28515625" style="36" customWidth="1"/>
    <col min="5396" max="5398" width="8.7109375" style="36" customWidth="1"/>
    <col min="5399" max="5399" width="12.42578125" style="36" customWidth="1"/>
    <col min="5400" max="5400" width="8.7109375" style="36" customWidth="1"/>
    <col min="5401" max="5401" width="11" style="36" customWidth="1"/>
    <col min="5402" max="5402" width="8.7109375" style="36" customWidth="1"/>
    <col min="5403" max="5403" width="7.7109375" style="36" customWidth="1"/>
    <col min="5404" max="5406" width="9.42578125" style="36" customWidth="1"/>
    <col min="5407" max="5407" width="13" style="36" customWidth="1"/>
    <col min="5408" max="5408" width="8.7109375" style="36" customWidth="1"/>
    <col min="5409" max="5409" width="11" style="36" customWidth="1"/>
    <col min="5410" max="5410" width="9.28515625" style="36" customWidth="1"/>
    <col min="5411" max="5412" width="8.7109375" style="36" customWidth="1"/>
    <col min="5413" max="5414" width="8" style="36" customWidth="1"/>
    <col min="5415" max="5415" width="12.7109375" style="36" customWidth="1"/>
    <col min="5416" max="5416" width="8.7109375" style="36" customWidth="1"/>
    <col min="5417" max="5417" width="12.7109375" style="36" customWidth="1"/>
    <col min="5418" max="5418" width="8.7109375" style="36" customWidth="1"/>
    <col min="5419" max="5419" width="9.42578125" style="36" customWidth="1"/>
    <col min="5420" max="5632" width="9.140625" style="36"/>
    <col min="5633" max="5633" width="6" style="36" customWidth="1"/>
    <col min="5634" max="5634" width="44.7109375" style="36" customWidth="1"/>
    <col min="5635" max="5635" width="7.28515625" style="36" customWidth="1"/>
    <col min="5636" max="5638" width="8.7109375" style="36" customWidth="1"/>
    <col min="5639" max="5639" width="12.42578125" style="36" customWidth="1"/>
    <col min="5640" max="5640" width="8.7109375" style="36" customWidth="1"/>
    <col min="5641" max="5641" width="11" style="36" customWidth="1"/>
    <col min="5642" max="5642" width="8.7109375" style="36" customWidth="1"/>
    <col min="5643" max="5643" width="7.7109375" style="36" customWidth="1"/>
    <col min="5644" max="5646" width="8.7109375" style="36" customWidth="1"/>
    <col min="5647" max="5647" width="13" style="36" customWidth="1"/>
    <col min="5648" max="5648" width="8.7109375" style="36" customWidth="1"/>
    <col min="5649" max="5649" width="11" style="36" customWidth="1"/>
    <col min="5650" max="5650" width="9.28515625" style="36" customWidth="1"/>
    <col min="5651" max="5651" width="7.28515625" style="36" customWidth="1"/>
    <col min="5652" max="5654" width="8.7109375" style="36" customWidth="1"/>
    <col min="5655" max="5655" width="12.42578125" style="36" customWidth="1"/>
    <col min="5656" max="5656" width="8.7109375" style="36" customWidth="1"/>
    <col min="5657" max="5657" width="11" style="36" customWidth="1"/>
    <col min="5658" max="5658" width="8.7109375" style="36" customWidth="1"/>
    <col min="5659" max="5659" width="7.7109375" style="36" customWidth="1"/>
    <col min="5660" max="5662" width="9.42578125" style="36" customWidth="1"/>
    <col min="5663" max="5663" width="13" style="36" customWidth="1"/>
    <col min="5664" max="5664" width="8.7109375" style="36" customWidth="1"/>
    <col min="5665" max="5665" width="11" style="36" customWidth="1"/>
    <col min="5666" max="5666" width="9.28515625" style="36" customWidth="1"/>
    <col min="5667" max="5668" width="8.7109375" style="36" customWidth="1"/>
    <col min="5669" max="5670" width="8" style="36" customWidth="1"/>
    <col min="5671" max="5671" width="12.7109375" style="36" customWidth="1"/>
    <col min="5672" max="5672" width="8.7109375" style="36" customWidth="1"/>
    <col min="5673" max="5673" width="12.7109375" style="36" customWidth="1"/>
    <col min="5674" max="5674" width="8.7109375" style="36" customWidth="1"/>
    <col min="5675" max="5675" width="9.42578125" style="36" customWidth="1"/>
    <col min="5676" max="5888" width="9.140625" style="36"/>
    <col min="5889" max="5889" width="6" style="36" customWidth="1"/>
    <col min="5890" max="5890" width="44.7109375" style="36" customWidth="1"/>
    <col min="5891" max="5891" width="7.28515625" style="36" customWidth="1"/>
    <col min="5892" max="5894" width="8.7109375" style="36" customWidth="1"/>
    <col min="5895" max="5895" width="12.42578125" style="36" customWidth="1"/>
    <col min="5896" max="5896" width="8.7109375" style="36" customWidth="1"/>
    <col min="5897" max="5897" width="11" style="36" customWidth="1"/>
    <col min="5898" max="5898" width="8.7109375" style="36" customWidth="1"/>
    <col min="5899" max="5899" width="7.7109375" style="36" customWidth="1"/>
    <col min="5900" max="5902" width="8.7109375" style="36" customWidth="1"/>
    <col min="5903" max="5903" width="13" style="36" customWidth="1"/>
    <col min="5904" max="5904" width="8.7109375" style="36" customWidth="1"/>
    <col min="5905" max="5905" width="11" style="36" customWidth="1"/>
    <col min="5906" max="5906" width="9.28515625" style="36" customWidth="1"/>
    <col min="5907" max="5907" width="7.28515625" style="36" customWidth="1"/>
    <col min="5908" max="5910" width="8.7109375" style="36" customWidth="1"/>
    <col min="5911" max="5911" width="12.42578125" style="36" customWidth="1"/>
    <col min="5912" max="5912" width="8.7109375" style="36" customWidth="1"/>
    <col min="5913" max="5913" width="11" style="36" customWidth="1"/>
    <col min="5914" max="5914" width="8.7109375" style="36" customWidth="1"/>
    <col min="5915" max="5915" width="7.7109375" style="36" customWidth="1"/>
    <col min="5916" max="5918" width="9.42578125" style="36" customWidth="1"/>
    <col min="5919" max="5919" width="13" style="36" customWidth="1"/>
    <col min="5920" max="5920" width="8.7109375" style="36" customWidth="1"/>
    <col min="5921" max="5921" width="11" style="36" customWidth="1"/>
    <col min="5922" max="5922" width="9.28515625" style="36" customWidth="1"/>
    <col min="5923" max="5924" width="8.7109375" style="36" customWidth="1"/>
    <col min="5925" max="5926" width="8" style="36" customWidth="1"/>
    <col min="5927" max="5927" width="12.7109375" style="36" customWidth="1"/>
    <col min="5928" max="5928" width="8.7109375" style="36" customWidth="1"/>
    <col min="5929" max="5929" width="12.7109375" style="36" customWidth="1"/>
    <col min="5930" max="5930" width="8.7109375" style="36" customWidth="1"/>
    <col min="5931" max="5931" width="9.42578125" style="36" customWidth="1"/>
    <col min="5932" max="6144" width="9.140625" style="36"/>
    <col min="6145" max="6145" width="6" style="36" customWidth="1"/>
    <col min="6146" max="6146" width="44.7109375" style="36" customWidth="1"/>
    <col min="6147" max="6147" width="7.28515625" style="36" customWidth="1"/>
    <col min="6148" max="6150" width="8.7109375" style="36" customWidth="1"/>
    <col min="6151" max="6151" width="12.42578125" style="36" customWidth="1"/>
    <col min="6152" max="6152" width="8.7109375" style="36" customWidth="1"/>
    <col min="6153" max="6153" width="11" style="36" customWidth="1"/>
    <col min="6154" max="6154" width="8.7109375" style="36" customWidth="1"/>
    <col min="6155" max="6155" width="7.7109375" style="36" customWidth="1"/>
    <col min="6156" max="6158" width="8.7109375" style="36" customWidth="1"/>
    <col min="6159" max="6159" width="13" style="36" customWidth="1"/>
    <col min="6160" max="6160" width="8.7109375" style="36" customWidth="1"/>
    <col min="6161" max="6161" width="11" style="36" customWidth="1"/>
    <col min="6162" max="6162" width="9.28515625" style="36" customWidth="1"/>
    <col min="6163" max="6163" width="7.28515625" style="36" customWidth="1"/>
    <col min="6164" max="6166" width="8.7109375" style="36" customWidth="1"/>
    <col min="6167" max="6167" width="12.42578125" style="36" customWidth="1"/>
    <col min="6168" max="6168" width="8.7109375" style="36" customWidth="1"/>
    <col min="6169" max="6169" width="11" style="36" customWidth="1"/>
    <col min="6170" max="6170" width="8.7109375" style="36" customWidth="1"/>
    <col min="6171" max="6171" width="7.7109375" style="36" customWidth="1"/>
    <col min="6172" max="6174" width="9.42578125" style="36" customWidth="1"/>
    <col min="6175" max="6175" width="13" style="36" customWidth="1"/>
    <col min="6176" max="6176" width="8.7109375" style="36" customWidth="1"/>
    <col min="6177" max="6177" width="11" style="36" customWidth="1"/>
    <col min="6178" max="6178" width="9.28515625" style="36" customWidth="1"/>
    <col min="6179" max="6180" width="8.7109375" style="36" customWidth="1"/>
    <col min="6181" max="6182" width="8" style="36" customWidth="1"/>
    <col min="6183" max="6183" width="12.7109375" style="36" customWidth="1"/>
    <col min="6184" max="6184" width="8.7109375" style="36" customWidth="1"/>
    <col min="6185" max="6185" width="12.7109375" style="36" customWidth="1"/>
    <col min="6186" max="6186" width="8.7109375" style="36" customWidth="1"/>
    <col min="6187" max="6187" width="9.42578125" style="36" customWidth="1"/>
    <col min="6188" max="6400" width="9.140625" style="36"/>
    <col min="6401" max="6401" width="6" style="36" customWidth="1"/>
    <col min="6402" max="6402" width="44.7109375" style="36" customWidth="1"/>
    <col min="6403" max="6403" width="7.28515625" style="36" customWidth="1"/>
    <col min="6404" max="6406" width="8.7109375" style="36" customWidth="1"/>
    <col min="6407" max="6407" width="12.42578125" style="36" customWidth="1"/>
    <col min="6408" max="6408" width="8.7109375" style="36" customWidth="1"/>
    <col min="6409" max="6409" width="11" style="36" customWidth="1"/>
    <col min="6410" max="6410" width="8.7109375" style="36" customWidth="1"/>
    <col min="6411" max="6411" width="7.7109375" style="36" customWidth="1"/>
    <col min="6412" max="6414" width="8.7109375" style="36" customWidth="1"/>
    <col min="6415" max="6415" width="13" style="36" customWidth="1"/>
    <col min="6416" max="6416" width="8.7109375" style="36" customWidth="1"/>
    <col min="6417" max="6417" width="11" style="36" customWidth="1"/>
    <col min="6418" max="6418" width="9.28515625" style="36" customWidth="1"/>
    <col min="6419" max="6419" width="7.28515625" style="36" customWidth="1"/>
    <col min="6420" max="6422" width="8.7109375" style="36" customWidth="1"/>
    <col min="6423" max="6423" width="12.42578125" style="36" customWidth="1"/>
    <col min="6424" max="6424" width="8.7109375" style="36" customWidth="1"/>
    <col min="6425" max="6425" width="11" style="36" customWidth="1"/>
    <col min="6426" max="6426" width="8.7109375" style="36" customWidth="1"/>
    <col min="6427" max="6427" width="7.7109375" style="36" customWidth="1"/>
    <col min="6428" max="6430" width="9.42578125" style="36" customWidth="1"/>
    <col min="6431" max="6431" width="13" style="36" customWidth="1"/>
    <col min="6432" max="6432" width="8.7109375" style="36" customWidth="1"/>
    <col min="6433" max="6433" width="11" style="36" customWidth="1"/>
    <col min="6434" max="6434" width="9.28515625" style="36" customWidth="1"/>
    <col min="6435" max="6436" width="8.7109375" style="36" customWidth="1"/>
    <col min="6437" max="6438" width="8" style="36" customWidth="1"/>
    <col min="6439" max="6439" width="12.7109375" style="36" customWidth="1"/>
    <col min="6440" max="6440" width="8.7109375" style="36" customWidth="1"/>
    <col min="6441" max="6441" width="12.7109375" style="36" customWidth="1"/>
    <col min="6442" max="6442" width="8.7109375" style="36" customWidth="1"/>
    <col min="6443" max="6443" width="9.42578125" style="36" customWidth="1"/>
    <col min="6444" max="6656" width="9.140625" style="36"/>
    <col min="6657" max="6657" width="6" style="36" customWidth="1"/>
    <col min="6658" max="6658" width="44.7109375" style="36" customWidth="1"/>
    <col min="6659" max="6659" width="7.28515625" style="36" customWidth="1"/>
    <col min="6660" max="6662" width="8.7109375" style="36" customWidth="1"/>
    <col min="6663" max="6663" width="12.42578125" style="36" customWidth="1"/>
    <col min="6664" max="6664" width="8.7109375" style="36" customWidth="1"/>
    <col min="6665" max="6665" width="11" style="36" customWidth="1"/>
    <col min="6666" max="6666" width="8.7109375" style="36" customWidth="1"/>
    <col min="6667" max="6667" width="7.7109375" style="36" customWidth="1"/>
    <col min="6668" max="6670" width="8.7109375" style="36" customWidth="1"/>
    <col min="6671" max="6671" width="13" style="36" customWidth="1"/>
    <col min="6672" max="6672" width="8.7109375" style="36" customWidth="1"/>
    <col min="6673" max="6673" width="11" style="36" customWidth="1"/>
    <col min="6674" max="6674" width="9.28515625" style="36" customWidth="1"/>
    <col min="6675" max="6675" width="7.28515625" style="36" customWidth="1"/>
    <col min="6676" max="6678" width="8.7109375" style="36" customWidth="1"/>
    <col min="6679" max="6679" width="12.42578125" style="36" customWidth="1"/>
    <col min="6680" max="6680" width="8.7109375" style="36" customWidth="1"/>
    <col min="6681" max="6681" width="11" style="36" customWidth="1"/>
    <col min="6682" max="6682" width="8.7109375" style="36" customWidth="1"/>
    <col min="6683" max="6683" width="7.7109375" style="36" customWidth="1"/>
    <col min="6684" max="6686" width="9.42578125" style="36" customWidth="1"/>
    <col min="6687" max="6687" width="13" style="36" customWidth="1"/>
    <col min="6688" max="6688" width="8.7109375" style="36" customWidth="1"/>
    <col min="6689" max="6689" width="11" style="36" customWidth="1"/>
    <col min="6690" max="6690" width="9.28515625" style="36" customWidth="1"/>
    <col min="6691" max="6692" width="8.7109375" style="36" customWidth="1"/>
    <col min="6693" max="6694" width="8" style="36" customWidth="1"/>
    <col min="6695" max="6695" width="12.7109375" style="36" customWidth="1"/>
    <col min="6696" max="6696" width="8.7109375" style="36" customWidth="1"/>
    <col min="6697" max="6697" width="12.7109375" style="36" customWidth="1"/>
    <col min="6698" max="6698" width="8.7109375" style="36" customWidth="1"/>
    <col min="6699" max="6699" width="9.42578125" style="36" customWidth="1"/>
    <col min="6700" max="6912" width="9.140625" style="36"/>
    <col min="6913" max="6913" width="6" style="36" customWidth="1"/>
    <col min="6914" max="6914" width="44.7109375" style="36" customWidth="1"/>
    <col min="6915" max="6915" width="7.28515625" style="36" customWidth="1"/>
    <col min="6916" max="6918" width="8.7109375" style="36" customWidth="1"/>
    <col min="6919" max="6919" width="12.42578125" style="36" customWidth="1"/>
    <col min="6920" max="6920" width="8.7109375" style="36" customWidth="1"/>
    <col min="6921" max="6921" width="11" style="36" customWidth="1"/>
    <col min="6922" max="6922" width="8.7109375" style="36" customWidth="1"/>
    <col min="6923" max="6923" width="7.7109375" style="36" customWidth="1"/>
    <col min="6924" max="6926" width="8.7109375" style="36" customWidth="1"/>
    <col min="6927" max="6927" width="13" style="36" customWidth="1"/>
    <col min="6928" max="6928" width="8.7109375" style="36" customWidth="1"/>
    <col min="6929" max="6929" width="11" style="36" customWidth="1"/>
    <col min="6930" max="6930" width="9.28515625" style="36" customWidth="1"/>
    <col min="6931" max="6931" width="7.28515625" style="36" customWidth="1"/>
    <col min="6932" max="6934" width="8.7109375" style="36" customWidth="1"/>
    <col min="6935" max="6935" width="12.42578125" style="36" customWidth="1"/>
    <col min="6936" max="6936" width="8.7109375" style="36" customWidth="1"/>
    <col min="6937" max="6937" width="11" style="36" customWidth="1"/>
    <col min="6938" max="6938" width="8.7109375" style="36" customWidth="1"/>
    <col min="6939" max="6939" width="7.7109375" style="36" customWidth="1"/>
    <col min="6940" max="6942" width="9.42578125" style="36" customWidth="1"/>
    <col min="6943" max="6943" width="13" style="36" customWidth="1"/>
    <col min="6944" max="6944" width="8.7109375" style="36" customWidth="1"/>
    <col min="6945" max="6945" width="11" style="36" customWidth="1"/>
    <col min="6946" max="6946" width="9.28515625" style="36" customWidth="1"/>
    <col min="6947" max="6948" width="8.7109375" style="36" customWidth="1"/>
    <col min="6949" max="6950" width="8" style="36" customWidth="1"/>
    <col min="6951" max="6951" width="12.7109375" style="36" customWidth="1"/>
    <col min="6952" max="6952" width="8.7109375" style="36" customWidth="1"/>
    <col min="6953" max="6953" width="12.7109375" style="36" customWidth="1"/>
    <col min="6954" max="6954" width="8.7109375" style="36" customWidth="1"/>
    <col min="6955" max="6955" width="9.42578125" style="36" customWidth="1"/>
    <col min="6956" max="7168" width="9.140625" style="36"/>
    <col min="7169" max="7169" width="6" style="36" customWidth="1"/>
    <col min="7170" max="7170" width="44.7109375" style="36" customWidth="1"/>
    <col min="7171" max="7171" width="7.28515625" style="36" customWidth="1"/>
    <col min="7172" max="7174" width="8.7109375" style="36" customWidth="1"/>
    <col min="7175" max="7175" width="12.42578125" style="36" customWidth="1"/>
    <col min="7176" max="7176" width="8.7109375" style="36" customWidth="1"/>
    <col min="7177" max="7177" width="11" style="36" customWidth="1"/>
    <col min="7178" max="7178" width="8.7109375" style="36" customWidth="1"/>
    <col min="7179" max="7179" width="7.7109375" style="36" customWidth="1"/>
    <col min="7180" max="7182" width="8.7109375" style="36" customWidth="1"/>
    <col min="7183" max="7183" width="13" style="36" customWidth="1"/>
    <col min="7184" max="7184" width="8.7109375" style="36" customWidth="1"/>
    <col min="7185" max="7185" width="11" style="36" customWidth="1"/>
    <col min="7186" max="7186" width="9.28515625" style="36" customWidth="1"/>
    <col min="7187" max="7187" width="7.28515625" style="36" customWidth="1"/>
    <col min="7188" max="7190" width="8.7109375" style="36" customWidth="1"/>
    <col min="7191" max="7191" width="12.42578125" style="36" customWidth="1"/>
    <col min="7192" max="7192" width="8.7109375" style="36" customWidth="1"/>
    <col min="7193" max="7193" width="11" style="36" customWidth="1"/>
    <col min="7194" max="7194" width="8.7109375" style="36" customWidth="1"/>
    <col min="7195" max="7195" width="7.7109375" style="36" customWidth="1"/>
    <col min="7196" max="7198" width="9.42578125" style="36" customWidth="1"/>
    <col min="7199" max="7199" width="13" style="36" customWidth="1"/>
    <col min="7200" max="7200" width="8.7109375" style="36" customWidth="1"/>
    <col min="7201" max="7201" width="11" style="36" customWidth="1"/>
    <col min="7202" max="7202" width="9.28515625" style="36" customWidth="1"/>
    <col min="7203" max="7204" width="8.7109375" style="36" customWidth="1"/>
    <col min="7205" max="7206" width="8" style="36" customWidth="1"/>
    <col min="7207" max="7207" width="12.7109375" style="36" customWidth="1"/>
    <col min="7208" max="7208" width="8.7109375" style="36" customWidth="1"/>
    <col min="7209" max="7209" width="12.7109375" style="36" customWidth="1"/>
    <col min="7210" max="7210" width="8.7109375" style="36" customWidth="1"/>
    <col min="7211" max="7211" width="9.42578125" style="36" customWidth="1"/>
    <col min="7212" max="7424" width="9.140625" style="36"/>
    <col min="7425" max="7425" width="6" style="36" customWidth="1"/>
    <col min="7426" max="7426" width="44.7109375" style="36" customWidth="1"/>
    <col min="7427" max="7427" width="7.28515625" style="36" customWidth="1"/>
    <col min="7428" max="7430" width="8.7109375" style="36" customWidth="1"/>
    <col min="7431" max="7431" width="12.42578125" style="36" customWidth="1"/>
    <col min="7432" max="7432" width="8.7109375" style="36" customWidth="1"/>
    <col min="7433" max="7433" width="11" style="36" customWidth="1"/>
    <col min="7434" max="7434" width="8.7109375" style="36" customWidth="1"/>
    <col min="7435" max="7435" width="7.7109375" style="36" customWidth="1"/>
    <col min="7436" max="7438" width="8.7109375" style="36" customWidth="1"/>
    <col min="7439" max="7439" width="13" style="36" customWidth="1"/>
    <col min="7440" max="7440" width="8.7109375" style="36" customWidth="1"/>
    <col min="7441" max="7441" width="11" style="36" customWidth="1"/>
    <col min="7442" max="7442" width="9.28515625" style="36" customWidth="1"/>
    <col min="7443" max="7443" width="7.28515625" style="36" customWidth="1"/>
    <col min="7444" max="7446" width="8.7109375" style="36" customWidth="1"/>
    <col min="7447" max="7447" width="12.42578125" style="36" customWidth="1"/>
    <col min="7448" max="7448" width="8.7109375" style="36" customWidth="1"/>
    <col min="7449" max="7449" width="11" style="36" customWidth="1"/>
    <col min="7450" max="7450" width="8.7109375" style="36" customWidth="1"/>
    <col min="7451" max="7451" width="7.7109375" style="36" customWidth="1"/>
    <col min="7452" max="7454" width="9.42578125" style="36" customWidth="1"/>
    <col min="7455" max="7455" width="13" style="36" customWidth="1"/>
    <col min="7456" max="7456" width="8.7109375" style="36" customWidth="1"/>
    <col min="7457" max="7457" width="11" style="36" customWidth="1"/>
    <col min="7458" max="7458" width="9.28515625" style="36" customWidth="1"/>
    <col min="7459" max="7460" width="8.7109375" style="36" customWidth="1"/>
    <col min="7461" max="7462" width="8" style="36" customWidth="1"/>
    <col min="7463" max="7463" width="12.7109375" style="36" customWidth="1"/>
    <col min="7464" max="7464" width="8.7109375" style="36" customWidth="1"/>
    <col min="7465" max="7465" width="12.7109375" style="36" customWidth="1"/>
    <col min="7466" max="7466" width="8.7109375" style="36" customWidth="1"/>
    <col min="7467" max="7467" width="9.42578125" style="36" customWidth="1"/>
    <col min="7468" max="7680" width="9.140625" style="36"/>
    <col min="7681" max="7681" width="6" style="36" customWidth="1"/>
    <col min="7682" max="7682" width="44.7109375" style="36" customWidth="1"/>
    <col min="7683" max="7683" width="7.28515625" style="36" customWidth="1"/>
    <col min="7684" max="7686" width="8.7109375" style="36" customWidth="1"/>
    <col min="7687" max="7687" width="12.42578125" style="36" customWidth="1"/>
    <col min="7688" max="7688" width="8.7109375" style="36" customWidth="1"/>
    <col min="7689" max="7689" width="11" style="36" customWidth="1"/>
    <col min="7690" max="7690" width="8.7109375" style="36" customWidth="1"/>
    <col min="7691" max="7691" width="7.7109375" style="36" customWidth="1"/>
    <col min="7692" max="7694" width="8.7109375" style="36" customWidth="1"/>
    <col min="7695" max="7695" width="13" style="36" customWidth="1"/>
    <col min="7696" max="7696" width="8.7109375" style="36" customWidth="1"/>
    <col min="7697" max="7697" width="11" style="36" customWidth="1"/>
    <col min="7698" max="7698" width="9.28515625" style="36" customWidth="1"/>
    <col min="7699" max="7699" width="7.28515625" style="36" customWidth="1"/>
    <col min="7700" max="7702" width="8.7109375" style="36" customWidth="1"/>
    <col min="7703" max="7703" width="12.42578125" style="36" customWidth="1"/>
    <col min="7704" max="7704" width="8.7109375" style="36" customWidth="1"/>
    <col min="7705" max="7705" width="11" style="36" customWidth="1"/>
    <col min="7706" max="7706" width="8.7109375" style="36" customWidth="1"/>
    <col min="7707" max="7707" width="7.7109375" style="36" customWidth="1"/>
    <col min="7708" max="7710" width="9.42578125" style="36" customWidth="1"/>
    <col min="7711" max="7711" width="13" style="36" customWidth="1"/>
    <col min="7712" max="7712" width="8.7109375" style="36" customWidth="1"/>
    <col min="7713" max="7713" width="11" style="36" customWidth="1"/>
    <col min="7714" max="7714" width="9.28515625" style="36" customWidth="1"/>
    <col min="7715" max="7716" width="8.7109375" style="36" customWidth="1"/>
    <col min="7717" max="7718" width="8" style="36" customWidth="1"/>
    <col min="7719" max="7719" width="12.7109375" style="36" customWidth="1"/>
    <col min="7720" max="7720" width="8.7109375" style="36" customWidth="1"/>
    <col min="7721" max="7721" width="12.7109375" style="36" customWidth="1"/>
    <col min="7722" max="7722" width="8.7109375" style="36" customWidth="1"/>
    <col min="7723" max="7723" width="9.42578125" style="36" customWidth="1"/>
    <col min="7724" max="7936" width="9.140625" style="36"/>
    <col min="7937" max="7937" width="6" style="36" customWidth="1"/>
    <col min="7938" max="7938" width="44.7109375" style="36" customWidth="1"/>
    <col min="7939" max="7939" width="7.28515625" style="36" customWidth="1"/>
    <col min="7940" max="7942" width="8.7109375" style="36" customWidth="1"/>
    <col min="7943" max="7943" width="12.42578125" style="36" customWidth="1"/>
    <col min="7944" max="7944" width="8.7109375" style="36" customWidth="1"/>
    <col min="7945" max="7945" width="11" style="36" customWidth="1"/>
    <col min="7946" max="7946" width="8.7109375" style="36" customWidth="1"/>
    <col min="7947" max="7947" width="7.7109375" style="36" customWidth="1"/>
    <col min="7948" max="7950" width="8.7109375" style="36" customWidth="1"/>
    <col min="7951" max="7951" width="13" style="36" customWidth="1"/>
    <col min="7952" max="7952" width="8.7109375" style="36" customWidth="1"/>
    <col min="7953" max="7953" width="11" style="36" customWidth="1"/>
    <col min="7954" max="7954" width="9.28515625" style="36" customWidth="1"/>
    <col min="7955" max="7955" width="7.28515625" style="36" customWidth="1"/>
    <col min="7956" max="7958" width="8.7109375" style="36" customWidth="1"/>
    <col min="7959" max="7959" width="12.42578125" style="36" customWidth="1"/>
    <col min="7960" max="7960" width="8.7109375" style="36" customWidth="1"/>
    <col min="7961" max="7961" width="11" style="36" customWidth="1"/>
    <col min="7962" max="7962" width="8.7109375" style="36" customWidth="1"/>
    <col min="7963" max="7963" width="7.7109375" style="36" customWidth="1"/>
    <col min="7964" max="7966" width="9.42578125" style="36" customWidth="1"/>
    <col min="7967" max="7967" width="13" style="36" customWidth="1"/>
    <col min="7968" max="7968" width="8.7109375" style="36" customWidth="1"/>
    <col min="7969" max="7969" width="11" style="36" customWidth="1"/>
    <col min="7970" max="7970" width="9.28515625" style="36" customWidth="1"/>
    <col min="7971" max="7972" width="8.7109375" style="36" customWidth="1"/>
    <col min="7973" max="7974" width="8" style="36" customWidth="1"/>
    <col min="7975" max="7975" width="12.7109375" style="36" customWidth="1"/>
    <col min="7976" max="7976" width="8.7109375" style="36" customWidth="1"/>
    <col min="7977" max="7977" width="12.7109375" style="36" customWidth="1"/>
    <col min="7978" max="7978" width="8.7109375" style="36" customWidth="1"/>
    <col min="7979" max="7979" width="9.42578125" style="36" customWidth="1"/>
    <col min="7980" max="8192" width="9.140625" style="36"/>
    <col min="8193" max="8193" width="6" style="36" customWidth="1"/>
    <col min="8194" max="8194" width="44.7109375" style="36" customWidth="1"/>
    <col min="8195" max="8195" width="7.28515625" style="36" customWidth="1"/>
    <col min="8196" max="8198" width="8.7109375" style="36" customWidth="1"/>
    <col min="8199" max="8199" width="12.42578125" style="36" customWidth="1"/>
    <col min="8200" max="8200" width="8.7109375" style="36" customWidth="1"/>
    <col min="8201" max="8201" width="11" style="36" customWidth="1"/>
    <col min="8202" max="8202" width="8.7109375" style="36" customWidth="1"/>
    <col min="8203" max="8203" width="7.7109375" style="36" customWidth="1"/>
    <col min="8204" max="8206" width="8.7109375" style="36" customWidth="1"/>
    <col min="8207" max="8207" width="13" style="36" customWidth="1"/>
    <col min="8208" max="8208" width="8.7109375" style="36" customWidth="1"/>
    <col min="8209" max="8209" width="11" style="36" customWidth="1"/>
    <col min="8210" max="8210" width="9.28515625" style="36" customWidth="1"/>
    <col min="8211" max="8211" width="7.28515625" style="36" customWidth="1"/>
    <col min="8212" max="8214" width="8.7109375" style="36" customWidth="1"/>
    <col min="8215" max="8215" width="12.42578125" style="36" customWidth="1"/>
    <col min="8216" max="8216" width="8.7109375" style="36" customWidth="1"/>
    <col min="8217" max="8217" width="11" style="36" customWidth="1"/>
    <col min="8218" max="8218" width="8.7109375" style="36" customWidth="1"/>
    <col min="8219" max="8219" width="7.7109375" style="36" customWidth="1"/>
    <col min="8220" max="8222" width="9.42578125" style="36" customWidth="1"/>
    <col min="8223" max="8223" width="13" style="36" customWidth="1"/>
    <col min="8224" max="8224" width="8.7109375" style="36" customWidth="1"/>
    <col min="8225" max="8225" width="11" style="36" customWidth="1"/>
    <col min="8226" max="8226" width="9.28515625" style="36" customWidth="1"/>
    <col min="8227" max="8228" width="8.7109375" style="36" customWidth="1"/>
    <col min="8229" max="8230" width="8" style="36" customWidth="1"/>
    <col min="8231" max="8231" width="12.7109375" style="36" customWidth="1"/>
    <col min="8232" max="8232" width="8.7109375" style="36" customWidth="1"/>
    <col min="8233" max="8233" width="12.7109375" style="36" customWidth="1"/>
    <col min="8234" max="8234" width="8.7109375" style="36" customWidth="1"/>
    <col min="8235" max="8235" width="9.42578125" style="36" customWidth="1"/>
    <col min="8236" max="8448" width="9.140625" style="36"/>
    <col min="8449" max="8449" width="6" style="36" customWidth="1"/>
    <col min="8450" max="8450" width="44.7109375" style="36" customWidth="1"/>
    <col min="8451" max="8451" width="7.28515625" style="36" customWidth="1"/>
    <col min="8452" max="8454" width="8.7109375" style="36" customWidth="1"/>
    <col min="8455" max="8455" width="12.42578125" style="36" customWidth="1"/>
    <col min="8456" max="8456" width="8.7109375" style="36" customWidth="1"/>
    <col min="8457" max="8457" width="11" style="36" customWidth="1"/>
    <col min="8458" max="8458" width="8.7109375" style="36" customWidth="1"/>
    <col min="8459" max="8459" width="7.7109375" style="36" customWidth="1"/>
    <col min="8460" max="8462" width="8.7109375" style="36" customWidth="1"/>
    <col min="8463" max="8463" width="13" style="36" customWidth="1"/>
    <col min="8464" max="8464" width="8.7109375" style="36" customWidth="1"/>
    <col min="8465" max="8465" width="11" style="36" customWidth="1"/>
    <col min="8466" max="8466" width="9.28515625" style="36" customWidth="1"/>
    <col min="8467" max="8467" width="7.28515625" style="36" customWidth="1"/>
    <col min="8468" max="8470" width="8.7109375" style="36" customWidth="1"/>
    <col min="8471" max="8471" width="12.42578125" style="36" customWidth="1"/>
    <col min="8472" max="8472" width="8.7109375" style="36" customWidth="1"/>
    <col min="8473" max="8473" width="11" style="36" customWidth="1"/>
    <col min="8474" max="8474" width="8.7109375" style="36" customWidth="1"/>
    <col min="8475" max="8475" width="7.7109375" style="36" customWidth="1"/>
    <col min="8476" max="8478" width="9.42578125" style="36" customWidth="1"/>
    <col min="8479" max="8479" width="13" style="36" customWidth="1"/>
    <col min="8480" max="8480" width="8.7109375" style="36" customWidth="1"/>
    <col min="8481" max="8481" width="11" style="36" customWidth="1"/>
    <col min="8482" max="8482" width="9.28515625" style="36" customWidth="1"/>
    <col min="8483" max="8484" width="8.7109375" style="36" customWidth="1"/>
    <col min="8485" max="8486" width="8" style="36" customWidth="1"/>
    <col min="8487" max="8487" width="12.7109375" style="36" customWidth="1"/>
    <col min="8488" max="8488" width="8.7109375" style="36" customWidth="1"/>
    <col min="8489" max="8489" width="12.7109375" style="36" customWidth="1"/>
    <col min="8490" max="8490" width="8.7109375" style="36" customWidth="1"/>
    <col min="8491" max="8491" width="9.42578125" style="36" customWidth="1"/>
    <col min="8492" max="8704" width="9.140625" style="36"/>
    <col min="8705" max="8705" width="6" style="36" customWidth="1"/>
    <col min="8706" max="8706" width="44.7109375" style="36" customWidth="1"/>
    <col min="8707" max="8707" width="7.28515625" style="36" customWidth="1"/>
    <col min="8708" max="8710" width="8.7109375" style="36" customWidth="1"/>
    <col min="8711" max="8711" width="12.42578125" style="36" customWidth="1"/>
    <col min="8712" max="8712" width="8.7109375" style="36" customWidth="1"/>
    <col min="8713" max="8713" width="11" style="36" customWidth="1"/>
    <col min="8714" max="8714" width="8.7109375" style="36" customWidth="1"/>
    <col min="8715" max="8715" width="7.7109375" style="36" customWidth="1"/>
    <col min="8716" max="8718" width="8.7109375" style="36" customWidth="1"/>
    <col min="8719" max="8719" width="13" style="36" customWidth="1"/>
    <col min="8720" max="8720" width="8.7109375" style="36" customWidth="1"/>
    <col min="8721" max="8721" width="11" style="36" customWidth="1"/>
    <col min="8722" max="8722" width="9.28515625" style="36" customWidth="1"/>
    <col min="8723" max="8723" width="7.28515625" style="36" customWidth="1"/>
    <col min="8724" max="8726" width="8.7109375" style="36" customWidth="1"/>
    <col min="8727" max="8727" width="12.42578125" style="36" customWidth="1"/>
    <col min="8728" max="8728" width="8.7109375" style="36" customWidth="1"/>
    <col min="8729" max="8729" width="11" style="36" customWidth="1"/>
    <col min="8730" max="8730" width="8.7109375" style="36" customWidth="1"/>
    <col min="8731" max="8731" width="7.7109375" style="36" customWidth="1"/>
    <col min="8732" max="8734" width="9.42578125" style="36" customWidth="1"/>
    <col min="8735" max="8735" width="13" style="36" customWidth="1"/>
    <col min="8736" max="8736" width="8.7109375" style="36" customWidth="1"/>
    <col min="8737" max="8737" width="11" style="36" customWidth="1"/>
    <col min="8738" max="8738" width="9.28515625" style="36" customWidth="1"/>
    <col min="8739" max="8740" width="8.7109375" style="36" customWidth="1"/>
    <col min="8741" max="8742" width="8" style="36" customWidth="1"/>
    <col min="8743" max="8743" width="12.7109375" style="36" customWidth="1"/>
    <col min="8744" max="8744" width="8.7109375" style="36" customWidth="1"/>
    <col min="8745" max="8745" width="12.7109375" style="36" customWidth="1"/>
    <col min="8746" max="8746" width="8.7109375" style="36" customWidth="1"/>
    <col min="8747" max="8747" width="9.42578125" style="36" customWidth="1"/>
    <col min="8748" max="8960" width="9.140625" style="36"/>
    <col min="8961" max="8961" width="6" style="36" customWidth="1"/>
    <col min="8962" max="8962" width="44.7109375" style="36" customWidth="1"/>
    <col min="8963" max="8963" width="7.28515625" style="36" customWidth="1"/>
    <col min="8964" max="8966" width="8.7109375" style="36" customWidth="1"/>
    <col min="8967" max="8967" width="12.42578125" style="36" customWidth="1"/>
    <col min="8968" max="8968" width="8.7109375" style="36" customWidth="1"/>
    <col min="8969" max="8969" width="11" style="36" customWidth="1"/>
    <col min="8970" max="8970" width="8.7109375" style="36" customWidth="1"/>
    <col min="8971" max="8971" width="7.7109375" style="36" customWidth="1"/>
    <col min="8972" max="8974" width="8.7109375" style="36" customWidth="1"/>
    <col min="8975" max="8975" width="13" style="36" customWidth="1"/>
    <col min="8976" max="8976" width="8.7109375" style="36" customWidth="1"/>
    <col min="8977" max="8977" width="11" style="36" customWidth="1"/>
    <col min="8978" max="8978" width="9.28515625" style="36" customWidth="1"/>
    <col min="8979" max="8979" width="7.28515625" style="36" customWidth="1"/>
    <col min="8980" max="8982" width="8.7109375" style="36" customWidth="1"/>
    <col min="8983" max="8983" width="12.42578125" style="36" customWidth="1"/>
    <col min="8984" max="8984" width="8.7109375" style="36" customWidth="1"/>
    <col min="8985" max="8985" width="11" style="36" customWidth="1"/>
    <col min="8986" max="8986" width="8.7109375" style="36" customWidth="1"/>
    <col min="8987" max="8987" width="7.7109375" style="36" customWidth="1"/>
    <col min="8988" max="8990" width="9.42578125" style="36" customWidth="1"/>
    <col min="8991" max="8991" width="13" style="36" customWidth="1"/>
    <col min="8992" max="8992" width="8.7109375" style="36" customWidth="1"/>
    <col min="8993" max="8993" width="11" style="36" customWidth="1"/>
    <col min="8994" max="8994" width="9.28515625" style="36" customWidth="1"/>
    <col min="8995" max="8996" width="8.7109375" style="36" customWidth="1"/>
    <col min="8997" max="8998" width="8" style="36" customWidth="1"/>
    <col min="8999" max="8999" width="12.7109375" style="36" customWidth="1"/>
    <col min="9000" max="9000" width="8.7109375" style="36" customWidth="1"/>
    <col min="9001" max="9001" width="12.7109375" style="36" customWidth="1"/>
    <col min="9002" max="9002" width="8.7109375" style="36" customWidth="1"/>
    <col min="9003" max="9003" width="9.42578125" style="36" customWidth="1"/>
    <col min="9004" max="9216" width="9.140625" style="36"/>
    <col min="9217" max="9217" width="6" style="36" customWidth="1"/>
    <col min="9218" max="9218" width="44.7109375" style="36" customWidth="1"/>
    <col min="9219" max="9219" width="7.28515625" style="36" customWidth="1"/>
    <col min="9220" max="9222" width="8.7109375" style="36" customWidth="1"/>
    <col min="9223" max="9223" width="12.42578125" style="36" customWidth="1"/>
    <col min="9224" max="9224" width="8.7109375" style="36" customWidth="1"/>
    <col min="9225" max="9225" width="11" style="36" customWidth="1"/>
    <col min="9226" max="9226" width="8.7109375" style="36" customWidth="1"/>
    <col min="9227" max="9227" width="7.7109375" style="36" customWidth="1"/>
    <col min="9228" max="9230" width="8.7109375" style="36" customWidth="1"/>
    <col min="9231" max="9231" width="13" style="36" customWidth="1"/>
    <col min="9232" max="9232" width="8.7109375" style="36" customWidth="1"/>
    <col min="9233" max="9233" width="11" style="36" customWidth="1"/>
    <col min="9234" max="9234" width="9.28515625" style="36" customWidth="1"/>
    <col min="9235" max="9235" width="7.28515625" style="36" customWidth="1"/>
    <col min="9236" max="9238" width="8.7109375" style="36" customWidth="1"/>
    <col min="9239" max="9239" width="12.42578125" style="36" customWidth="1"/>
    <col min="9240" max="9240" width="8.7109375" style="36" customWidth="1"/>
    <col min="9241" max="9241" width="11" style="36" customWidth="1"/>
    <col min="9242" max="9242" width="8.7109375" style="36" customWidth="1"/>
    <col min="9243" max="9243" width="7.7109375" style="36" customWidth="1"/>
    <col min="9244" max="9246" width="9.42578125" style="36" customWidth="1"/>
    <col min="9247" max="9247" width="13" style="36" customWidth="1"/>
    <col min="9248" max="9248" width="8.7109375" style="36" customWidth="1"/>
    <col min="9249" max="9249" width="11" style="36" customWidth="1"/>
    <col min="9250" max="9250" width="9.28515625" style="36" customWidth="1"/>
    <col min="9251" max="9252" width="8.7109375" style="36" customWidth="1"/>
    <col min="9253" max="9254" width="8" style="36" customWidth="1"/>
    <col min="9255" max="9255" width="12.7109375" style="36" customWidth="1"/>
    <col min="9256" max="9256" width="8.7109375" style="36" customWidth="1"/>
    <col min="9257" max="9257" width="12.7109375" style="36" customWidth="1"/>
    <col min="9258" max="9258" width="8.7109375" style="36" customWidth="1"/>
    <col min="9259" max="9259" width="9.42578125" style="36" customWidth="1"/>
    <col min="9260" max="9472" width="9.140625" style="36"/>
    <col min="9473" max="9473" width="6" style="36" customWidth="1"/>
    <col min="9474" max="9474" width="44.7109375" style="36" customWidth="1"/>
    <col min="9475" max="9475" width="7.28515625" style="36" customWidth="1"/>
    <col min="9476" max="9478" width="8.7109375" style="36" customWidth="1"/>
    <col min="9479" max="9479" width="12.42578125" style="36" customWidth="1"/>
    <col min="9480" max="9480" width="8.7109375" style="36" customWidth="1"/>
    <col min="9481" max="9481" width="11" style="36" customWidth="1"/>
    <col min="9482" max="9482" width="8.7109375" style="36" customWidth="1"/>
    <col min="9483" max="9483" width="7.7109375" style="36" customWidth="1"/>
    <col min="9484" max="9486" width="8.7109375" style="36" customWidth="1"/>
    <col min="9487" max="9487" width="13" style="36" customWidth="1"/>
    <col min="9488" max="9488" width="8.7109375" style="36" customWidth="1"/>
    <col min="9489" max="9489" width="11" style="36" customWidth="1"/>
    <col min="9490" max="9490" width="9.28515625" style="36" customWidth="1"/>
    <col min="9491" max="9491" width="7.28515625" style="36" customWidth="1"/>
    <col min="9492" max="9494" width="8.7109375" style="36" customWidth="1"/>
    <col min="9495" max="9495" width="12.42578125" style="36" customWidth="1"/>
    <col min="9496" max="9496" width="8.7109375" style="36" customWidth="1"/>
    <col min="9497" max="9497" width="11" style="36" customWidth="1"/>
    <col min="9498" max="9498" width="8.7109375" style="36" customWidth="1"/>
    <col min="9499" max="9499" width="7.7109375" style="36" customWidth="1"/>
    <col min="9500" max="9502" width="9.42578125" style="36" customWidth="1"/>
    <col min="9503" max="9503" width="13" style="36" customWidth="1"/>
    <col min="9504" max="9504" width="8.7109375" style="36" customWidth="1"/>
    <col min="9505" max="9505" width="11" style="36" customWidth="1"/>
    <col min="9506" max="9506" width="9.28515625" style="36" customWidth="1"/>
    <col min="9507" max="9508" width="8.7109375" style="36" customWidth="1"/>
    <col min="9509" max="9510" width="8" style="36" customWidth="1"/>
    <col min="9511" max="9511" width="12.7109375" style="36" customWidth="1"/>
    <col min="9512" max="9512" width="8.7109375" style="36" customWidth="1"/>
    <col min="9513" max="9513" width="12.7109375" style="36" customWidth="1"/>
    <col min="9514" max="9514" width="8.7109375" style="36" customWidth="1"/>
    <col min="9515" max="9515" width="9.42578125" style="36" customWidth="1"/>
    <col min="9516" max="9728" width="9.140625" style="36"/>
    <col min="9729" max="9729" width="6" style="36" customWidth="1"/>
    <col min="9730" max="9730" width="44.7109375" style="36" customWidth="1"/>
    <col min="9731" max="9731" width="7.28515625" style="36" customWidth="1"/>
    <col min="9732" max="9734" width="8.7109375" style="36" customWidth="1"/>
    <col min="9735" max="9735" width="12.42578125" style="36" customWidth="1"/>
    <col min="9736" max="9736" width="8.7109375" style="36" customWidth="1"/>
    <col min="9737" max="9737" width="11" style="36" customWidth="1"/>
    <col min="9738" max="9738" width="8.7109375" style="36" customWidth="1"/>
    <col min="9739" max="9739" width="7.7109375" style="36" customWidth="1"/>
    <col min="9740" max="9742" width="8.7109375" style="36" customWidth="1"/>
    <col min="9743" max="9743" width="13" style="36" customWidth="1"/>
    <col min="9744" max="9744" width="8.7109375" style="36" customWidth="1"/>
    <col min="9745" max="9745" width="11" style="36" customWidth="1"/>
    <col min="9746" max="9746" width="9.28515625" style="36" customWidth="1"/>
    <col min="9747" max="9747" width="7.28515625" style="36" customWidth="1"/>
    <col min="9748" max="9750" width="8.7109375" style="36" customWidth="1"/>
    <col min="9751" max="9751" width="12.42578125" style="36" customWidth="1"/>
    <col min="9752" max="9752" width="8.7109375" style="36" customWidth="1"/>
    <col min="9753" max="9753" width="11" style="36" customWidth="1"/>
    <col min="9754" max="9754" width="8.7109375" style="36" customWidth="1"/>
    <col min="9755" max="9755" width="7.7109375" style="36" customWidth="1"/>
    <col min="9756" max="9758" width="9.42578125" style="36" customWidth="1"/>
    <col min="9759" max="9759" width="13" style="36" customWidth="1"/>
    <col min="9760" max="9760" width="8.7109375" style="36" customWidth="1"/>
    <col min="9761" max="9761" width="11" style="36" customWidth="1"/>
    <col min="9762" max="9762" width="9.28515625" style="36" customWidth="1"/>
    <col min="9763" max="9764" width="8.7109375" style="36" customWidth="1"/>
    <col min="9765" max="9766" width="8" style="36" customWidth="1"/>
    <col min="9767" max="9767" width="12.7109375" style="36" customWidth="1"/>
    <col min="9768" max="9768" width="8.7109375" style="36" customWidth="1"/>
    <col min="9769" max="9769" width="12.7109375" style="36" customWidth="1"/>
    <col min="9770" max="9770" width="8.7109375" style="36" customWidth="1"/>
    <col min="9771" max="9771" width="9.42578125" style="36" customWidth="1"/>
    <col min="9772" max="9984" width="9.140625" style="36"/>
    <col min="9985" max="9985" width="6" style="36" customWidth="1"/>
    <col min="9986" max="9986" width="44.7109375" style="36" customWidth="1"/>
    <col min="9987" max="9987" width="7.28515625" style="36" customWidth="1"/>
    <col min="9988" max="9990" width="8.7109375" style="36" customWidth="1"/>
    <col min="9991" max="9991" width="12.42578125" style="36" customWidth="1"/>
    <col min="9992" max="9992" width="8.7109375" style="36" customWidth="1"/>
    <col min="9993" max="9993" width="11" style="36" customWidth="1"/>
    <col min="9994" max="9994" width="8.7109375" style="36" customWidth="1"/>
    <col min="9995" max="9995" width="7.7109375" style="36" customWidth="1"/>
    <col min="9996" max="9998" width="8.7109375" style="36" customWidth="1"/>
    <col min="9999" max="9999" width="13" style="36" customWidth="1"/>
    <col min="10000" max="10000" width="8.7109375" style="36" customWidth="1"/>
    <col min="10001" max="10001" width="11" style="36" customWidth="1"/>
    <col min="10002" max="10002" width="9.28515625" style="36" customWidth="1"/>
    <col min="10003" max="10003" width="7.28515625" style="36" customWidth="1"/>
    <col min="10004" max="10006" width="8.7109375" style="36" customWidth="1"/>
    <col min="10007" max="10007" width="12.42578125" style="36" customWidth="1"/>
    <col min="10008" max="10008" width="8.7109375" style="36" customWidth="1"/>
    <col min="10009" max="10009" width="11" style="36" customWidth="1"/>
    <col min="10010" max="10010" width="8.7109375" style="36" customWidth="1"/>
    <col min="10011" max="10011" width="7.7109375" style="36" customWidth="1"/>
    <col min="10012" max="10014" width="9.42578125" style="36" customWidth="1"/>
    <col min="10015" max="10015" width="13" style="36" customWidth="1"/>
    <col min="10016" max="10016" width="8.7109375" style="36" customWidth="1"/>
    <col min="10017" max="10017" width="11" style="36" customWidth="1"/>
    <col min="10018" max="10018" width="9.28515625" style="36" customWidth="1"/>
    <col min="10019" max="10020" width="8.7109375" style="36" customWidth="1"/>
    <col min="10021" max="10022" width="8" style="36" customWidth="1"/>
    <col min="10023" max="10023" width="12.7109375" style="36" customWidth="1"/>
    <col min="10024" max="10024" width="8.7109375" style="36" customWidth="1"/>
    <col min="10025" max="10025" width="12.7109375" style="36" customWidth="1"/>
    <col min="10026" max="10026" width="8.7109375" style="36" customWidth="1"/>
    <col min="10027" max="10027" width="9.42578125" style="36" customWidth="1"/>
    <col min="10028" max="10240" width="9.140625" style="36"/>
    <col min="10241" max="10241" width="6" style="36" customWidth="1"/>
    <col min="10242" max="10242" width="44.7109375" style="36" customWidth="1"/>
    <col min="10243" max="10243" width="7.28515625" style="36" customWidth="1"/>
    <col min="10244" max="10246" width="8.7109375" style="36" customWidth="1"/>
    <col min="10247" max="10247" width="12.42578125" style="36" customWidth="1"/>
    <col min="10248" max="10248" width="8.7109375" style="36" customWidth="1"/>
    <col min="10249" max="10249" width="11" style="36" customWidth="1"/>
    <col min="10250" max="10250" width="8.7109375" style="36" customWidth="1"/>
    <col min="10251" max="10251" width="7.7109375" style="36" customWidth="1"/>
    <col min="10252" max="10254" width="8.7109375" style="36" customWidth="1"/>
    <col min="10255" max="10255" width="13" style="36" customWidth="1"/>
    <col min="10256" max="10256" width="8.7109375" style="36" customWidth="1"/>
    <col min="10257" max="10257" width="11" style="36" customWidth="1"/>
    <col min="10258" max="10258" width="9.28515625" style="36" customWidth="1"/>
    <col min="10259" max="10259" width="7.28515625" style="36" customWidth="1"/>
    <col min="10260" max="10262" width="8.7109375" style="36" customWidth="1"/>
    <col min="10263" max="10263" width="12.42578125" style="36" customWidth="1"/>
    <col min="10264" max="10264" width="8.7109375" style="36" customWidth="1"/>
    <col min="10265" max="10265" width="11" style="36" customWidth="1"/>
    <col min="10266" max="10266" width="8.7109375" style="36" customWidth="1"/>
    <col min="10267" max="10267" width="7.7109375" style="36" customWidth="1"/>
    <col min="10268" max="10270" width="9.42578125" style="36" customWidth="1"/>
    <col min="10271" max="10271" width="13" style="36" customWidth="1"/>
    <col min="10272" max="10272" width="8.7109375" style="36" customWidth="1"/>
    <col min="10273" max="10273" width="11" style="36" customWidth="1"/>
    <col min="10274" max="10274" width="9.28515625" style="36" customWidth="1"/>
    <col min="10275" max="10276" width="8.7109375" style="36" customWidth="1"/>
    <col min="10277" max="10278" width="8" style="36" customWidth="1"/>
    <col min="10279" max="10279" width="12.7109375" style="36" customWidth="1"/>
    <col min="10280" max="10280" width="8.7109375" style="36" customWidth="1"/>
    <col min="10281" max="10281" width="12.7109375" style="36" customWidth="1"/>
    <col min="10282" max="10282" width="8.7109375" style="36" customWidth="1"/>
    <col min="10283" max="10283" width="9.42578125" style="36" customWidth="1"/>
    <col min="10284" max="10496" width="9.140625" style="36"/>
    <col min="10497" max="10497" width="6" style="36" customWidth="1"/>
    <col min="10498" max="10498" width="44.7109375" style="36" customWidth="1"/>
    <col min="10499" max="10499" width="7.28515625" style="36" customWidth="1"/>
    <col min="10500" max="10502" width="8.7109375" style="36" customWidth="1"/>
    <col min="10503" max="10503" width="12.42578125" style="36" customWidth="1"/>
    <col min="10504" max="10504" width="8.7109375" style="36" customWidth="1"/>
    <col min="10505" max="10505" width="11" style="36" customWidth="1"/>
    <col min="10506" max="10506" width="8.7109375" style="36" customWidth="1"/>
    <col min="10507" max="10507" width="7.7109375" style="36" customWidth="1"/>
    <col min="10508" max="10510" width="8.7109375" style="36" customWidth="1"/>
    <col min="10511" max="10511" width="13" style="36" customWidth="1"/>
    <col min="10512" max="10512" width="8.7109375" style="36" customWidth="1"/>
    <col min="10513" max="10513" width="11" style="36" customWidth="1"/>
    <col min="10514" max="10514" width="9.28515625" style="36" customWidth="1"/>
    <col min="10515" max="10515" width="7.28515625" style="36" customWidth="1"/>
    <col min="10516" max="10518" width="8.7109375" style="36" customWidth="1"/>
    <col min="10519" max="10519" width="12.42578125" style="36" customWidth="1"/>
    <col min="10520" max="10520" width="8.7109375" style="36" customWidth="1"/>
    <col min="10521" max="10521" width="11" style="36" customWidth="1"/>
    <col min="10522" max="10522" width="8.7109375" style="36" customWidth="1"/>
    <col min="10523" max="10523" width="7.7109375" style="36" customWidth="1"/>
    <col min="10524" max="10526" width="9.42578125" style="36" customWidth="1"/>
    <col min="10527" max="10527" width="13" style="36" customWidth="1"/>
    <col min="10528" max="10528" width="8.7109375" style="36" customWidth="1"/>
    <col min="10529" max="10529" width="11" style="36" customWidth="1"/>
    <col min="10530" max="10530" width="9.28515625" style="36" customWidth="1"/>
    <col min="10531" max="10532" width="8.7109375" style="36" customWidth="1"/>
    <col min="10533" max="10534" width="8" style="36" customWidth="1"/>
    <col min="10535" max="10535" width="12.7109375" style="36" customWidth="1"/>
    <col min="10536" max="10536" width="8.7109375" style="36" customWidth="1"/>
    <col min="10537" max="10537" width="12.7109375" style="36" customWidth="1"/>
    <col min="10538" max="10538" width="8.7109375" style="36" customWidth="1"/>
    <col min="10539" max="10539" width="9.42578125" style="36" customWidth="1"/>
    <col min="10540" max="10752" width="9.140625" style="36"/>
    <col min="10753" max="10753" width="6" style="36" customWidth="1"/>
    <col min="10754" max="10754" width="44.7109375" style="36" customWidth="1"/>
    <col min="10755" max="10755" width="7.28515625" style="36" customWidth="1"/>
    <col min="10756" max="10758" width="8.7109375" style="36" customWidth="1"/>
    <col min="10759" max="10759" width="12.42578125" style="36" customWidth="1"/>
    <col min="10760" max="10760" width="8.7109375" style="36" customWidth="1"/>
    <col min="10761" max="10761" width="11" style="36" customWidth="1"/>
    <col min="10762" max="10762" width="8.7109375" style="36" customWidth="1"/>
    <col min="10763" max="10763" width="7.7109375" style="36" customWidth="1"/>
    <col min="10764" max="10766" width="8.7109375" style="36" customWidth="1"/>
    <col min="10767" max="10767" width="13" style="36" customWidth="1"/>
    <col min="10768" max="10768" width="8.7109375" style="36" customWidth="1"/>
    <col min="10769" max="10769" width="11" style="36" customWidth="1"/>
    <col min="10770" max="10770" width="9.28515625" style="36" customWidth="1"/>
    <col min="10771" max="10771" width="7.28515625" style="36" customWidth="1"/>
    <col min="10772" max="10774" width="8.7109375" style="36" customWidth="1"/>
    <col min="10775" max="10775" width="12.42578125" style="36" customWidth="1"/>
    <col min="10776" max="10776" width="8.7109375" style="36" customWidth="1"/>
    <col min="10777" max="10777" width="11" style="36" customWidth="1"/>
    <col min="10778" max="10778" width="8.7109375" style="36" customWidth="1"/>
    <col min="10779" max="10779" width="7.7109375" style="36" customWidth="1"/>
    <col min="10780" max="10782" width="9.42578125" style="36" customWidth="1"/>
    <col min="10783" max="10783" width="13" style="36" customWidth="1"/>
    <col min="10784" max="10784" width="8.7109375" style="36" customWidth="1"/>
    <col min="10785" max="10785" width="11" style="36" customWidth="1"/>
    <col min="10786" max="10786" width="9.28515625" style="36" customWidth="1"/>
    <col min="10787" max="10788" width="8.7109375" style="36" customWidth="1"/>
    <col min="10789" max="10790" width="8" style="36" customWidth="1"/>
    <col min="10791" max="10791" width="12.7109375" style="36" customWidth="1"/>
    <col min="10792" max="10792" width="8.7109375" style="36" customWidth="1"/>
    <col min="10793" max="10793" width="12.7109375" style="36" customWidth="1"/>
    <col min="10794" max="10794" width="8.7109375" style="36" customWidth="1"/>
    <col min="10795" max="10795" width="9.42578125" style="36" customWidth="1"/>
    <col min="10796" max="11008" width="9.140625" style="36"/>
    <col min="11009" max="11009" width="6" style="36" customWidth="1"/>
    <col min="11010" max="11010" width="44.7109375" style="36" customWidth="1"/>
    <col min="11011" max="11011" width="7.28515625" style="36" customWidth="1"/>
    <col min="11012" max="11014" width="8.7109375" style="36" customWidth="1"/>
    <col min="11015" max="11015" width="12.42578125" style="36" customWidth="1"/>
    <col min="11016" max="11016" width="8.7109375" style="36" customWidth="1"/>
    <col min="11017" max="11017" width="11" style="36" customWidth="1"/>
    <col min="11018" max="11018" width="8.7109375" style="36" customWidth="1"/>
    <col min="11019" max="11019" width="7.7109375" style="36" customWidth="1"/>
    <col min="11020" max="11022" width="8.7109375" style="36" customWidth="1"/>
    <col min="11023" max="11023" width="13" style="36" customWidth="1"/>
    <col min="11024" max="11024" width="8.7109375" style="36" customWidth="1"/>
    <col min="11025" max="11025" width="11" style="36" customWidth="1"/>
    <col min="11026" max="11026" width="9.28515625" style="36" customWidth="1"/>
    <col min="11027" max="11027" width="7.28515625" style="36" customWidth="1"/>
    <col min="11028" max="11030" width="8.7109375" style="36" customWidth="1"/>
    <col min="11031" max="11031" width="12.42578125" style="36" customWidth="1"/>
    <col min="11032" max="11032" width="8.7109375" style="36" customWidth="1"/>
    <col min="11033" max="11033" width="11" style="36" customWidth="1"/>
    <col min="11034" max="11034" width="8.7109375" style="36" customWidth="1"/>
    <col min="11035" max="11035" width="7.7109375" style="36" customWidth="1"/>
    <col min="11036" max="11038" width="9.42578125" style="36" customWidth="1"/>
    <col min="11039" max="11039" width="13" style="36" customWidth="1"/>
    <col min="11040" max="11040" width="8.7109375" style="36" customWidth="1"/>
    <col min="11041" max="11041" width="11" style="36" customWidth="1"/>
    <col min="11042" max="11042" width="9.28515625" style="36" customWidth="1"/>
    <col min="11043" max="11044" width="8.7109375" style="36" customWidth="1"/>
    <col min="11045" max="11046" width="8" style="36" customWidth="1"/>
    <col min="11047" max="11047" width="12.7109375" style="36" customWidth="1"/>
    <col min="11048" max="11048" width="8.7109375" style="36" customWidth="1"/>
    <col min="11049" max="11049" width="12.7109375" style="36" customWidth="1"/>
    <col min="11050" max="11050" width="8.7109375" style="36" customWidth="1"/>
    <col min="11051" max="11051" width="9.42578125" style="36" customWidth="1"/>
    <col min="11052" max="11264" width="9.140625" style="36"/>
    <col min="11265" max="11265" width="6" style="36" customWidth="1"/>
    <col min="11266" max="11266" width="44.7109375" style="36" customWidth="1"/>
    <col min="11267" max="11267" width="7.28515625" style="36" customWidth="1"/>
    <col min="11268" max="11270" width="8.7109375" style="36" customWidth="1"/>
    <col min="11271" max="11271" width="12.42578125" style="36" customWidth="1"/>
    <col min="11272" max="11272" width="8.7109375" style="36" customWidth="1"/>
    <col min="11273" max="11273" width="11" style="36" customWidth="1"/>
    <col min="11274" max="11274" width="8.7109375" style="36" customWidth="1"/>
    <col min="11275" max="11275" width="7.7109375" style="36" customWidth="1"/>
    <col min="11276" max="11278" width="8.7109375" style="36" customWidth="1"/>
    <col min="11279" max="11279" width="13" style="36" customWidth="1"/>
    <col min="11280" max="11280" width="8.7109375" style="36" customWidth="1"/>
    <col min="11281" max="11281" width="11" style="36" customWidth="1"/>
    <col min="11282" max="11282" width="9.28515625" style="36" customWidth="1"/>
    <col min="11283" max="11283" width="7.28515625" style="36" customWidth="1"/>
    <col min="11284" max="11286" width="8.7109375" style="36" customWidth="1"/>
    <col min="11287" max="11287" width="12.42578125" style="36" customWidth="1"/>
    <col min="11288" max="11288" width="8.7109375" style="36" customWidth="1"/>
    <col min="11289" max="11289" width="11" style="36" customWidth="1"/>
    <col min="11290" max="11290" width="8.7109375" style="36" customWidth="1"/>
    <col min="11291" max="11291" width="7.7109375" style="36" customWidth="1"/>
    <col min="11292" max="11294" width="9.42578125" style="36" customWidth="1"/>
    <col min="11295" max="11295" width="13" style="36" customWidth="1"/>
    <col min="11296" max="11296" width="8.7109375" style="36" customWidth="1"/>
    <col min="11297" max="11297" width="11" style="36" customWidth="1"/>
    <col min="11298" max="11298" width="9.28515625" style="36" customWidth="1"/>
    <col min="11299" max="11300" width="8.7109375" style="36" customWidth="1"/>
    <col min="11301" max="11302" width="8" style="36" customWidth="1"/>
    <col min="11303" max="11303" width="12.7109375" style="36" customWidth="1"/>
    <col min="11304" max="11304" width="8.7109375" style="36" customWidth="1"/>
    <col min="11305" max="11305" width="12.7109375" style="36" customWidth="1"/>
    <col min="11306" max="11306" width="8.7109375" style="36" customWidth="1"/>
    <col min="11307" max="11307" width="9.42578125" style="36" customWidth="1"/>
    <col min="11308" max="11520" width="9.140625" style="36"/>
    <col min="11521" max="11521" width="6" style="36" customWidth="1"/>
    <col min="11522" max="11522" width="44.7109375" style="36" customWidth="1"/>
    <col min="11523" max="11523" width="7.28515625" style="36" customWidth="1"/>
    <col min="11524" max="11526" width="8.7109375" style="36" customWidth="1"/>
    <col min="11527" max="11527" width="12.42578125" style="36" customWidth="1"/>
    <col min="11528" max="11528" width="8.7109375" style="36" customWidth="1"/>
    <col min="11529" max="11529" width="11" style="36" customWidth="1"/>
    <col min="11530" max="11530" width="8.7109375" style="36" customWidth="1"/>
    <col min="11531" max="11531" width="7.7109375" style="36" customWidth="1"/>
    <col min="11532" max="11534" width="8.7109375" style="36" customWidth="1"/>
    <col min="11535" max="11535" width="13" style="36" customWidth="1"/>
    <col min="11536" max="11536" width="8.7109375" style="36" customWidth="1"/>
    <col min="11537" max="11537" width="11" style="36" customWidth="1"/>
    <col min="11538" max="11538" width="9.28515625" style="36" customWidth="1"/>
    <col min="11539" max="11539" width="7.28515625" style="36" customWidth="1"/>
    <col min="11540" max="11542" width="8.7109375" style="36" customWidth="1"/>
    <col min="11543" max="11543" width="12.42578125" style="36" customWidth="1"/>
    <col min="11544" max="11544" width="8.7109375" style="36" customWidth="1"/>
    <col min="11545" max="11545" width="11" style="36" customWidth="1"/>
    <col min="11546" max="11546" width="8.7109375" style="36" customWidth="1"/>
    <col min="11547" max="11547" width="7.7109375" style="36" customWidth="1"/>
    <col min="11548" max="11550" width="9.42578125" style="36" customWidth="1"/>
    <col min="11551" max="11551" width="13" style="36" customWidth="1"/>
    <col min="11552" max="11552" width="8.7109375" style="36" customWidth="1"/>
    <col min="11553" max="11553" width="11" style="36" customWidth="1"/>
    <col min="11554" max="11554" width="9.28515625" style="36" customWidth="1"/>
    <col min="11555" max="11556" width="8.7109375" style="36" customWidth="1"/>
    <col min="11557" max="11558" width="8" style="36" customWidth="1"/>
    <col min="11559" max="11559" width="12.7109375" style="36" customWidth="1"/>
    <col min="11560" max="11560" width="8.7109375" style="36" customWidth="1"/>
    <col min="11561" max="11561" width="12.7109375" style="36" customWidth="1"/>
    <col min="11562" max="11562" width="8.7109375" style="36" customWidth="1"/>
    <col min="11563" max="11563" width="9.42578125" style="36" customWidth="1"/>
    <col min="11564" max="11776" width="9.140625" style="36"/>
    <col min="11777" max="11777" width="6" style="36" customWidth="1"/>
    <col min="11778" max="11778" width="44.7109375" style="36" customWidth="1"/>
    <col min="11779" max="11779" width="7.28515625" style="36" customWidth="1"/>
    <col min="11780" max="11782" width="8.7109375" style="36" customWidth="1"/>
    <col min="11783" max="11783" width="12.42578125" style="36" customWidth="1"/>
    <col min="11784" max="11784" width="8.7109375" style="36" customWidth="1"/>
    <col min="11785" max="11785" width="11" style="36" customWidth="1"/>
    <col min="11786" max="11786" width="8.7109375" style="36" customWidth="1"/>
    <col min="11787" max="11787" width="7.7109375" style="36" customWidth="1"/>
    <col min="11788" max="11790" width="8.7109375" style="36" customWidth="1"/>
    <col min="11791" max="11791" width="13" style="36" customWidth="1"/>
    <col min="11792" max="11792" width="8.7109375" style="36" customWidth="1"/>
    <col min="11793" max="11793" width="11" style="36" customWidth="1"/>
    <col min="11794" max="11794" width="9.28515625" style="36" customWidth="1"/>
    <col min="11795" max="11795" width="7.28515625" style="36" customWidth="1"/>
    <col min="11796" max="11798" width="8.7109375" style="36" customWidth="1"/>
    <col min="11799" max="11799" width="12.42578125" style="36" customWidth="1"/>
    <col min="11800" max="11800" width="8.7109375" style="36" customWidth="1"/>
    <col min="11801" max="11801" width="11" style="36" customWidth="1"/>
    <col min="11802" max="11802" width="8.7109375" style="36" customWidth="1"/>
    <col min="11803" max="11803" width="7.7109375" style="36" customWidth="1"/>
    <col min="11804" max="11806" width="9.42578125" style="36" customWidth="1"/>
    <col min="11807" max="11807" width="13" style="36" customWidth="1"/>
    <col min="11808" max="11808" width="8.7109375" style="36" customWidth="1"/>
    <col min="11809" max="11809" width="11" style="36" customWidth="1"/>
    <col min="11810" max="11810" width="9.28515625" style="36" customWidth="1"/>
    <col min="11811" max="11812" width="8.7109375" style="36" customWidth="1"/>
    <col min="11813" max="11814" width="8" style="36" customWidth="1"/>
    <col min="11815" max="11815" width="12.7109375" style="36" customWidth="1"/>
    <col min="11816" max="11816" width="8.7109375" style="36" customWidth="1"/>
    <col min="11817" max="11817" width="12.7109375" style="36" customWidth="1"/>
    <col min="11818" max="11818" width="8.7109375" style="36" customWidth="1"/>
    <col min="11819" max="11819" width="9.42578125" style="36" customWidth="1"/>
    <col min="11820" max="12032" width="9.140625" style="36"/>
    <col min="12033" max="12033" width="6" style="36" customWidth="1"/>
    <col min="12034" max="12034" width="44.7109375" style="36" customWidth="1"/>
    <col min="12035" max="12035" width="7.28515625" style="36" customWidth="1"/>
    <col min="12036" max="12038" width="8.7109375" style="36" customWidth="1"/>
    <col min="12039" max="12039" width="12.42578125" style="36" customWidth="1"/>
    <col min="12040" max="12040" width="8.7109375" style="36" customWidth="1"/>
    <col min="12041" max="12041" width="11" style="36" customWidth="1"/>
    <col min="12042" max="12042" width="8.7109375" style="36" customWidth="1"/>
    <col min="12043" max="12043" width="7.7109375" style="36" customWidth="1"/>
    <col min="12044" max="12046" width="8.7109375" style="36" customWidth="1"/>
    <col min="12047" max="12047" width="13" style="36" customWidth="1"/>
    <col min="12048" max="12048" width="8.7109375" style="36" customWidth="1"/>
    <col min="12049" max="12049" width="11" style="36" customWidth="1"/>
    <col min="12050" max="12050" width="9.28515625" style="36" customWidth="1"/>
    <col min="12051" max="12051" width="7.28515625" style="36" customWidth="1"/>
    <col min="12052" max="12054" width="8.7109375" style="36" customWidth="1"/>
    <col min="12055" max="12055" width="12.42578125" style="36" customWidth="1"/>
    <col min="12056" max="12056" width="8.7109375" style="36" customWidth="1"/>
    <col min="12057" max="12057" width="11" style="36" customWidth="1"/>
    <col min="12058" max="12058" width="8.7109375" style="36" customWidth="1"/>
    <col min="12059" max="12059" width="7.7109375" style="36" customWidth="1"/>
    <col min="12060" max="12062" width="9.42578125" style="36" customWidth="1"/>
    <col min="12063" max="12063" width="13" style="36" customWidth="1"/>
    <col min="12064" max="12064" width="8.7109375" style="36" customWidth="1"/>
    <col min="12065" max="12065" width="11" style="36" customWidth="1"/>
    <col min="12066" max="12066" width="9.28515625" style="36" customWidth="1"/>
    <col min="12067" max="12068" width="8.7109375" style="36" customWidth="1"/>
    <col min="12069" max="12070" width="8" style="36" customWidth="1"/>
    <col min="12071" max="12071" width="12.7109375" style="36" customWidth="1"/>
    <col min="12072" max="12072" width="8.7109375" style="36" customWidth="1"/>
    <col min="12073" max="12073" width="12.7109375" style="36" customWidth="1"/>
    <col min="12074" max="12074" width="8.7109375" style="36" customWidth="1"/>
    <col min="12075" max="12075" width="9.42578125" style="36" customWidth="1"/>
    <col min="12076" max="12288" width="9.140625" style="36"/>
    <col min="12289" max="12289" width="6" style="36" customWidth="1"/>
    <col min="12290" max="12290" width="44.7109375" style="36" customWidth="1"/>
    <col min="12291" max="12291" width="7.28515625" style="36" customWidth="1"/>
    <col min="12292" max="12294" width="8.7109375" style="36" customWidth="1"/>
    <col min="12295" max="12295" width="12.42578125" style="36" customWidth="1"/>
    <col min="12296" max="12296" width="8.7109375" style="36" customWidth="1"/>
    <col min="12297" max="12297" width="11" style="36" customWidth="1"/>
    <col min="12298" max="12298" width="8.7109375" style="36" customWidth="1"/>
    <col min="12299" max="12299" width="7.7109375" style="36" customWidth="1"/>
    <col min="12300" max="12302" width="8.7109375" style="36" customWidth="1"/>
    <col min="12303" max="12303" width="13" style="36" customWidth="1"/>
    <col min="12304" max="12304" width="8.7109375" style="36" customWidth="1"/>
    <col min="12305" max="12305" width="11" style="36" customWidth="1"/>
    <col min="12306" max="12306" width="9.28515625" style="36" customWidth="1"/>
    <col min="12307" max="12307" width="7.28515625" style="36" customWidth="1"/>
    <col min="12308" max="12310" width="8.7109375" style="36" customWidth="1"/>
    <col min="12311" max="12311" width="12.42578125" style="36" customWidth="1"/>
    <col min="12312" max="12312" width="8.7109375" style="36" customWidth="1"/>
    <col min="12313" max="12313" width="11" style="36" customWidth="1"/>
    <col min="12314" max="12314" width="8.7109375" style="36" customWidth="1"/>
    <col min="12315" max="12315" width="7.7109375" style="36" customWidth="1"/>
    <col min="12316" max="12318" width="9.42578125" style="36" customWidth="1"/>
    <col min="12319" max="12319" width="13" style="36" customWidth="1"/>
    <col min="12320" max="12320" width="8.7109375" style="36" customWidth="1"/>
    <col min="12321" max="12321" width="11" style="36" customWidth="1"/>
    <col min="12322" max="12322" width="9.28515625" style="36" customWidth="1"/>
    <col min="12323" max="12324" width="8.7109375" style="36" customWidth="1"/>
    <col min="12325" max="12326" width="8" style="36" customWidth="1"/>
    <col min="12327" max="12327" width="12.7109375" style="36" customWidth="1"/>
    <col min="12328" max="12328" width="8.7109375" style="36" customWidth="1"/>
    <col min="12329" max="12329" width="12.7109375" style="36" customWidth="1"/>
    <col min="12330" max="12330" width="8.7109375" style="36" customWidth="1"/>
    <col min="12331" max="12331" width="9.42578125" style="36" customWidth="1"/>
    <col min="12332" max="12544" width="9.140625" style="36"/>
    <col min="12545" max="12545" width="6" style="36" customWidth="1"/>
    <col min="12546" max="12546" width="44.7109375" style="36" customWidth="1"/>
    <col min="12547" max="12547" width="7.28515625" style="36" customWidth="1"/>
    <col min="12548" max="12550" width="8.7109375" style="36" customWidth="1"/>
    <col min="12551" max="12551" width="12.42578125" style="36" customWidth="1"/>
    <col min="12552" max="12552" width="8.7109375" style="36" customWidth="1"/>
    <col min="12553" max="12553" width="11" style="36" customWidth="1"/>
    <col min="12554" max="12554" width="8.7109375" style="36" customWidth="1"/>
    <col min="12555" max="12555" width="7.7109375" style="36" customWidth="1"/>
    <col min="12556" max="12558" width="8.7109375" style="36" customWidth="1"/>
    <col min="12559" max="12559" width="13" style="36" customWidth="1"/>
    <col min="12560" max="12560" width="8.7109375" style="36" customWidth="1"/>
    <col min="12561" max="12561" width="11" style="36" customWidth="1"/>
    <col min="12562" max="12562" width="9.28515625" style="36" customWidth="1"/>
    <col min="12563" max="12563" width="7.28515625" style="36" customWidth="1"/>
    <col min="12564" max="12566" width="8.7109375" style="36" customWidth="1"/>
    <col min="12567" max="12567" width="12.42578125" style="36" customWidth="1"/>
    <col min="12568" max="12568" width="8.7109375" style="36" customWidth="1"/>
    <col min="12569" max="12569" width="11" style="36" customWidth="1"/>
    <col min="12570" max="12570" width="8.7109375" style="36" customWidth="1"/>
    <col min="12571" max="12571" width="7.7109375" style="36" customWidth="1"/>
    <col min="12572" max="12574" width="9.42578125" style="36" customWidth="1"/>
    <col min="12575" max="12575" width="13" style="36" customWidth="1"/>
    <col min="12576" max="12576" width="8.7109375" style="36" customWidth="1"/>
    <col min="12577" max="12577" width="11" style="36" customWidth="1"/>
    <col min="12578" max="12578" width="9.28515625" style="36" customWidth="1"/>
    <col min="12579" max="12580" width="8.7109375" style="36" customWidth="1"/>
    <col min="12581" max="12582" width="8" style="36" customWidth="1"/>
    <col min="12583" max="12583" width="12.7109375" style="36" customWidth="1"/>
    <col min="12584" max="12584" width="8.7109375" style="36" customWidth="1"/>
    <col min="12585" max="12585" width="12.7109375" style="36" customWidth="1"/>
    <col min="12586" max="12586" width="8.7109375" style="36" customWidth="1"/>
    <col min="12587" max="12587" width="9.42578125" style="36" customWidth="1"/>
    <col min="12588" max="12800" width="9.140625" style="36"/>
    <col min="12801" max="12801" width="6" style="36" customWidth="1"/>
    <col min="12802" max="12802" width="44.7109375" style="36" customWidth="1"/>
    <col min="12803" max="12803" width="7.28515625" style="36" customWidth="1"/>
    <col min="12804" max="12806" width="8.7109375" style="36" customWidth="1"/>
    <col min="12807" max="12807" width="12.42578125" style="36" customWidth="1"/>
    <col min="12808" max="12808" width="8.7109375" style="36" customWidth="1"/>
    <col min="12809" max="12809" width="11" style="36" customWidth="1"/>
    <col min="12810" max="12810" width="8.7109375" style="36" customWidth="1"/>
    <col min="12811" max="12811" width="7.7109375" style="36" customWidth="1"/>
    <col min="12812" max="12814" width="8.7109375" style="36" customWidth="1"/>
    <col min="12815" max="12815" width="13" style="36" customWidth="1"/>
    <col min="12816" max="12816" width="8.7109375" style="36" customWidth="1"/>
    <col min="12817" max="12817" width="11" style="36" customWidth="1"/>
    <col min="12818" max="12818" width="9.28515625" style="36" customWidth="1"/>
    <col min="12819" max="12819" width="7.28515625" style="36" customWidth="1"/>
    <col min="12820" max="12822" width="8.7109375" style="36" customWidth="1"/>
    <col min="12823" max="12823" width="12.42578125" style="36" customWidth="1"/>
    <col min="12824" max="12824" width="8.7109375" style="36" customWidth="1"/>
    <col min="12825" max="12825" width="11" style="36" customWidth="1"/>
    <col min="12826" max="12826" width="8.7109375" style="36" customWidth="1"/>
    <col min="12827" max="12827" width="7.7109375" style="36" customWidth="1"/>
    <col min="12828" max="12830" width="9.42578125" style="36" customWidth="1"/>
    <col min="12831" max="12831" width="13" style="36" customWidth="1"/>
    <col min="12832" max="12832" width="8.7109375" style="36" customWidth="1"/>
    <col min="12833" max="12833" width="11" style="36" customWidth="1"/>
    <col min="12834" max="12834" width="9.28515625" style="36" customWidth="1"/>
    <col min="12835" max="12836" width="8.7109375" style="36" customWidth="1"/>
    <col min="12837" max="12838" width="8" style="36" customWidth="1"/>
    <col min="12839" max="12839" width="12.7109375" style="36" customWidth="1"/>
    <col min="12840" max="12840" width="8.7109375" style="36" customWidth="1"/>
    <col min="12841" max="12841" width="12.7109375" style="36" customWidth="1"/>
    <col min="12842" max="12842" width="8.7109375" style="36" customWidth="1"/>
    <col min="12843" max="12843" width="9.42578125" style="36" customWidth="1"/>
    <col min="12844" max="13056" width="9.140625" style="36"/>
    <col min="13057" max="13057" width="6" style="36" customWidth="1"/>
    <col min="13058" max="13058" width="44.7109375" style="36" customWidth="1"/>
    <col min="13059" max="13059" width="7.28515625" style="36" customWidth="1"/>
    <col min="13060" max="13062" width="8.7109375" style="36" customWidth="1"/>
    <col min="13063" max="13063" width="12.42578125" style="36" customWidth="1"/>
    <col min="13064" max="13064" width="8.7109375" style="36" customWidth="1"/>
    <col min="13065" max="13065" width="11" style="36" customWidth="1"/>
    <col min="13066" max="13066" width="8.7109375" style="36" customWidth="1"/>
    <col min="13067" max="13067" width="7.7109375" style="36" customWidth="1"/>
    <col min="13068" max="13070" width="8.7109375" style="36" customWidth="1"/>
    <col min="13071" max="13071" width="13" style="36" customWidth="1"/>
    <col min="13072" max="13072" width="8.7109375" style="36" customWidth="1"/>
    <col min="13073" max="13073" width="11" style="36" customWidth="1"/>
    <col min="13074" max="13074" width="9.28515625" style="36" customWidth="1"/>
    <col min="13075" max="13075" width="7.28515625" style="36" customWidth="1"/>
    <col min="13076" max="13078" width="8.7109375" style="36" customWidth="1"/>
    <col min="13079" max="13079" width="12.42578125" style="36" customWidth="1"/>
    <col min="13080" max="13080" width="8.7109375" style="36" customWidth="1"/>
    <col min="13081" max="13081" width="11" style="36" customWidth="1"/>
    <col min="13082" max="13082" width="8.7109375" style="36" customWidth="1"/>
    <col min="13083" max="13083" width="7.7109375" style="36" customWidth="1"/>
    <col min="13084" max="13086" width="9.42578125" style="36" customWidth="1"/>
    <col min="13087" max="13087" width="13" style="36" customWidth="1"/>
    <col min="13088" max="13088" width="8.7109375" style="36" customWidth="1"/>
    <col min="13089" max="13089" width="11" style="36" customWidth="1"/>
    <col min="13090" max="13090" width="9.28515625" style="36" customWidth="1"/>
    <col min="13091" max="13092" width="8.7109375" style="36" customWidth="1"/>
    <col min="13093" max="13094" width="8" style="36" customWidth="1"/>
    <col min="13095" max="13095" width="12.7109375" style="36" customWidth="1"/>
    <col min="13096" max="13096" width="8.7109375" style="36" customWidth="1"/>
    <col min="13097" max="13097" width="12.7109375" style="36" customWidth="1"/>
    <col min="13098" max="13098" width="8.7109375" style="36" customWidth="1"/>
    <col min="13099" max="13099" width="9.42578125" style="36" customWidth="1"/>
    <col min="13100" max="13312" width="9.140625" style="36"/>
    <col min="13313" max="13313" width="6" style="36" customWidth="1"/>
    <col min="13314" max="13314" width="44.7109375" style="36" customWidth="1"/>
    <col min="13315" max="13315" width="7.28515625" style="36" customWidth="1"/>
    <col min="13316" max="13318" width="8.7109375" style="36" customWidth="1"/>
    <col min="13319" max="13319" width="12.42578125" style="36" customWidth="1"/>
    <col min="13320" max="13320" width="8.7109375" style="36" customWidth="1"/>
    <col min="13321" max="13321" width="11" style="36" customWidth="1"/>
    <col min="13322" max="13322" width="8.7109375" style="36" customWidth="1"/>
    <col min="13323" max="13323" width="7.7109375" style="36" customWidth="1"/>
    <col min="13324" max="13326" width="8.7109375" style="36" customWidth="1"/>
    <col min="13327" max="13327" width="13" style="36" customWidth="1"/>
    <col min="13328" max="13328" width="8.7109375" style="36" customWidth="1"/>
    <col min="13329" max="13329" width="11" style="36" customWidth="1"/>
    <col min="13330" max="13330" width="9.28515625" style="36" customWidth="1"/>
    <col min="13331" max="13331" width="7.28515625" style="36" customWidth="1"/>
    <col min="13332" max="13334" width="8.7109375" style="36" customWidth="1"/>
    <col min="13335" max="13335" width="12.42578125" style="36" customWidth="1"/>
    <col min="13336" max="13336" width="8.7109375" style="36" customWidth="1"/>
    <col min="13337" max="13337" width="11" style="36" customWidth="1"/>
    <col min="13338" max="13338" width="8.7109375" style="36" customWidth="1"/>
    <col min="13339" max="13339" width="7.7109375" style="36" customWidth="1"/>
    <col min="13340" max="13342" width="9.42578125" style="36" customWidth="1"/>
    <col min="13343" max="13343" width="13" style="36" customWidth="1"/>
    <col min="13344" max="13344" width="8.7109375" style="36" customWidth="1"/>
    <col min="13345" max="13345" width="11" style="36" customWidth="1"/>
    <col min="13346" max="13346" width="9.28515625" style="36" customWidth="1"/>
    <col min="13347" max="13348" width="8.7109375" style="36" customWidth="1"/>
    <col min="13349" max="13350" width="8" style="36" customWidth="1"/>
    <col min="13351" max="13351" width="12.7109375" style="36" customWidth="1"/>
    <col min="13352" max="13352" width="8.7109375" style="36" customWidth="1"/>
    <col min="13353" max="13353" width="12.7109375" style="36" customWidth="1"/>
    <col min="13354" max="13354" width="8.7109375" style="36" customWidth="1"/>
    <col min="13355" max="13355" width="9.42578125" style="36" customWidth="1"/>
    <col min="13356" max="13568" width="9.140625" style="36"/>
    <col min="13569" max="13569" width="6" style="36" customWidth="1"/>
    <col min="13570" max="13570" width="44.7109375" style="36" customWidth="1"/>
    <col min="13571" max="13571" width="7.28515625" style="36" customWidth="1"/>
    <col min="13572" max="13574" width="8.7109375" style="36" customWidth="1"/>
    <col min="13575" max="13575" width="12.42578125" style="36" customWidth="1"/>
    <col min="13576" max="13576" width="8.7109375" style="36" customWidth="1"/>
    <col min="13577" max="13577" width="11" style="36" customWidth="1"/>
    <col min="13578" max="13578" width="8.7109375" style="36" customWidth="1"/>
    <col min="13579" max="13579" width="7.7109375" style="36" customWidth="1"/>
    <col min="13580" max="13582" width="8.7109375" style="36" customWidth="1"/>
    <col min="13583" max="13583" width="13" style="36" customWidth="1"/>
    <col min="13584" max="13584" width="8.7109375" style="36" customWidth="1"/>
    <col min="13585" max="13585" width="11" style="36" customWidth="1"/>
    <col min="13586" max="13586" width="9.28515625" style="36" customWidth="1"/>
    <col min="13587" max="13587" width="7.28515625" style="36" customWidth="1"/>
    <col min="13588" max="13590" width="8.7109375" style="36" customWidth="1"/>
    <col min="13591" max="13591" width="12.42578125" style="36" customWidth="1"/>
    <col min="13592" max="13592" width="8.7109375" style="36" customWidth="1"/>
    <col min="13593" max="13593" width="11" style="36" customWidth="1"/>
    <col min="13594" max="13594" width="8.7109375" style="36" customWidth="1"/>
    <col min="13595" max="13595" width="7.7109375" style="36" customWidth="1"/>
    <col min="13596" max="13598" width="9.42578125" style="36" customWidth="1"/>
    <col min="13599" max="13599" width="13" style="36" customWidth="1"/>
    <col min="13600" max="13600" width="8.7109375" style="36" customWidth="1"/>
    <col min="13601" max="13601" width="11" style="36" customWidth="1"/>
    <col min="13602" max="13602" width="9.28515625" style="36" customWidth="1"/>
    <col min="13603" max="13604" width="8.7109375" style="36" customWidth="1"/>
    <col min="13605" max="13606" width="8" style="36" customWidth="1"/>
    <col min="13607" max="13607" width="12.7109375" style="36" customWidth="1"/>
    <col min="13608" max="13608" width="8.7109375" style="36" customWidth="1"/>
    <col min="13609" max="13609" width="12.7109375" style="36" customWidth="1"/>
    <col min="13610" max="13610" width="8.7109375" style="36" customWidth="1"/>
    <col min="13611" max="13611" width="9.42578125" style="36" customWidth="1"/>
    <col min="13612" max="13824" width="9.140625" style="36"/>
    <col min="13825" max="13825" width="6" style="36" customWidth="1"/>
    <col min="13826" max="13826" width="44.7109375" style="36" customWidth="1"/>
    <col min="13827" max="13827" width="7.28515625" style="36" customWidth="1"/>
    <col min="13828" max="13830" width="8.7109375" style="36" customWidth="1"/>
    <col min="13831" max="13831" width="12.42578125" style="36" customWidth="1"/>
    <col min="13832" max="13832" width="8.7109375" style="36" customWidth="1"/>
    <col min="13833" max="13833" width="11" style="36" customWidth="1"/>
    <col min="13834" max="13834" width="8.7109375" style="36" customWidth="1"/>
    <col min="13835" max="13835" width="7.7109375" style="36" customWidth="1"/>
    <col min="13836" max="13838" width="8.7109375" style="36" customWidth="1"/>
    <col min="13839" max="13839" width="13" style="36" customWidth="1"/>
    <col min="13840" max="13840" width="8.7109375" style="36" customWidth="1"/>
    <col min="13841" max="13841" width="11" style="36" customWidth="1"/>
    <col min="13842" max="13842" width="9.28515625" style="36" customWidth="1"/>
    <col min="13843" max="13843" width="7.28515625" style="36" customWidth="1"/>
    <col min="13844" max="13846" width="8.7109375" style="36" customWidth="1"/>
    <col min="13847" max="13847" width="12.42578125" style="36" customWidth="1"/>
    <col min="13848" max="13848" width="8.7109375" style="36" customWidth="1"/>
    <col min="13849" max="13849" width="11" style="36" customWidth="1"/>
    <col min="13850" max="13850" width="8.7109375" style="36" customWidth="1"/>
    <col min="13851" max="13851" width="7.7109375" style="36" customWidth="1"/>
    <col min="13852" max="13854" width="9.42578125" style="36" customWidth="1"/>
    <col min="13855" max="13855" width="13" style="36" customWidth="1"/>
    <col min="13856" max="13856" width="8.7109375" style="36" customWidth="1"/>
    <col min="13857" max="13857" width="11" style="36" customWidth="1"/>
    <col min="13858" max="13858" width="9.28515625" style="36" customWidth="1"/>
    <col min="13859" max="13860" width="8.7109375" style="36" customWidth="1"/>
    <col min="13861" max="13862" width="8" style="36" customWidth="1"/>
    <col min="13863" max="13863" width="12.7109375" style="36" customWidth="1"/>
    <col min="13864" max="13864" width="8.7109375" style="36" customWidth="1"/>
    <col min="13865" max="13865" width="12.7109375" style="36" customWidth="1"/>
    <col min="13866" max="13866" width="8.7109375" style="36" customWidth="1"/>
    <col min="13867" max="13867" width="9.42578125" style="36" customWidth="1"/>
    <col min="13868" max="14080" width="9.140625" style="36"/>
    <col min="14081" max="14081" width="6" style="36" customWidth="1"/>
    <col min="14082" max="14082" width="44.7109375" style="36" customWidth="1"/>
    <col min="14083" max="14083" width="7.28515625" style="36" customWidth="1"/>
    <col min="14084" max="14086" width="8.7109375" style="36" customWidth="1"/>
    <col min="14087" max="14087" width="12.42578125" style="36" customWidth="1"/>
    <col min="14088" max="14088" width="8.7109375" style="36" customWidth="1"/>
    <col min="14089" max="14089" width="11" style="36" customWidth="1"/>
    <col min="14090" max="14090" width="8.7109375" style="36" customWidth="1"/>
    <col min="14091" max="14091" width="7.7109375" style="36" customWidth="1"/>
    <col min="14092" max="14094" width="8.7109375" style="36" customWidth="1"/>
    <col min="14095" max="14095" width="13" style="36" customWidth="1"/>
    <col min="14096" max="14096" width="8.7109375" style="36" customWidth="1"/>
    <col min="14097" max="14097" width="11" style="36" customWidth="1"/>
    <col min="14098" max="14098" width="9.28515625" style="36" customWidth="1"/>
    <col min="14099" max="14099" width="7.28515625" style="36" customWidth="1"/>
    <col min="14100" max="14102" width="8.7109375" style="36" customWidth="1"/>
    <col min="14103" max="14103" width="12.42578125" style="36" customWidth="1"/>
    <col min="14104" max="14104" width="8.7109375" style="36" customWidth="1"/>
    <col min="14105" max="14105" width="11" style="36" customWidth="1"/>
    <col min="14106" max="14106" width="8.7109375" style="36" customWidth="1"/>
    <col min="14107" max="14107" width="7.7109375" style="36" customWidth="1"/>
    <col min="14108" max="14110" width="9.42578125" style="36" customWidth="1"/>
    <col min="14111" max="14111" width="13" style="36" customWidth="1"/>
    <col min="14112" max="14112" width="8.7109375" style="36" customWidth="1"/>
    <col min="14113" max="14113" width="11" style="36" customWidth="1"/>
    <col min="14114" max="14114" width="9.28515625" style="36" customWidth="1"/>
    <col min="14115" max="14116" width="8.7109375" style="36" customWidth="1"/>
    <col min="14117" max="14118" width="8" style="36" customWidth="1"/>
    <col min="14119" max="14119" width="12.7109375" style="36" customWidth="1"/>
    <col min="14120" max="14120" width="8.7109375" style="36" customWidth="1"/>
    <col min="14121" max="14121" width="12.7109375" style="36" customWidth="1"/>
    <col min="14122" max="14122" width="8.7109375" style="36" customWidth="1"/>
    <col min="14123" max="14123" width="9.42578125" style="36" customWidth="1"/>
    <col min="14124" max="14336" width="9.140625" style="36"/>
    <col min="14337" max="14337" width="6" style="36" customWidth="1"/>
    <col min="14338" max="14338" width="44.7109375" style="36" customWidth="1"/>
    <col min="14339" max="14339" width="7.28515625" style="36" customWidth="1"/>
    <col min="14340" max="14342" width="8.7109375" style="36" customWidth="1"/>
    <col min="14343" max="14343" width="12.42578125" style="36" customWidth="1"/>
    <col min="14344" max="14344" width="8.7109375" style="36" customWidth="1"/>
    <col min="14345" max="14345" width="11" style="36" customWidth="1"/>
    <col min="14346" max="14346" width="8.7109375" style="36" customWidth="1"/>
    <col min="14347" max="14347" width="7.7109375" style="36" customWidth="1"/>
    <col min="14348" max="14350" width="8.7109375" style="36" customWidth="1"/>
    <col min="14351" max="14351" width="13" style="36" customWidth="1"/>
    <col min="14352" max="14352" width="8.7109375" style="36" customWidth="1"/>
    <col min="14353" max="14353" width="11" style="36" customWidth="1"/>
    <col min="14354" max="14354" width="9.28515625" style="36" customWidth="1"/>
    <col min="14355" max="14355" width="7.28515625" style="36" customWidth="1"/>
    <col min="14356" max="14358" width="8.7109375" style="36" customWidth="1"/>
    <col min="14359" max="14359" width="12.42578125" style="36" customWidth="1"/>
    <col min="14360" max="14360" width="8.7109375" style="36" customWidth="1"/>
    <col min="14361" max="14361" width="11" style="36" customWidth="1"/>
    <col min="14362" max="14362" width="8.7109375" style="36" customWidth="1"/>
    <col min="14363" max="14363" width="7.7109375" style="36" customWidth="1"/>
    <col min="14364" max="14366" width="9.42578125" style="36" customWidth="1"/>
    <col min="14367" max="14367" width="13" style="36" customWidth="1"/>
    <col min="14368" max="14368" width="8.7109375" style="36" customWidth="1"/>
    <col min="14369" max="14369" width="11" style="36" customWidth="1"/>
    <col min="14370" max="14370" width="9.28515625" style="36" customWidth="1"/>
    <col min="14371" max="14372" width="8.7109375" style="36" customWidth="1"/>
    <col min="14373" max="14374" width="8" style="36" customWidth="1"/>
    <col min="14375" max="14375" width="12.7109375" style="36" customWidth="1"/>
    <col min="14376" max="14376" width="8.7109375" style="36" customWidth="1"/>
    <col min="14377" max="14377" width="12.7109375" style="36" customWidth="1"/>
    <col min="14378" max="14378" width="8.7109375" style="36" customWidth="1"/>
    <col min="14379" max="14379" width="9.42578125" style="36" customWidth="1"/>
    <col min="14380" max="14592" width="9.140625" style="36"/>
    <col min="14593" max="14593" width="6" style="36" customWidth="1"/>
    <col min="14594" max="14594" width="44.7109375" style="36" customWidth="1"/>
    <col min="14595" max="14595" width="7.28515625" style="36" customWidth="1"/>
    <col min="14596" max="14598" width="8.7109375" style="36" customWidth="1"/>
    <col min="14599" max="14599" width="12.42578125" style="36" customWidth="1"/>
    <col min="14600" max="14600" width="8.7109375" style="36" customWidth="1"/>
    <col min="14601" max="14601" width="11" style="36" customWidth="1"/>
    <col min="14602" max="14602" width="8.7109375" style="36" customWidth="1"/>
    <col min="14603" max="14603" width="7.7109375" style="36" customWidth="1"/>
    <col min="14604" max="14606" width="8.7109375" style="36" customWidth="1"/>
    <col min="14607" max="14607" width="13" style="36" customWidth="1"/>
    <col min="14608" max="14608" width="8.7109375" style="36" customWidth="1"/>
    <col min="14609" max="14609" width="11" style="36" customWidth="1"/>
    <col min="14610" max="14610" width="9.28515625" style="36" customWidth="1"/>
    <col min="14611" max="14611" width="7.28515625" style="36" customWidth="1"/>
    <col min="14612" max="14614" width="8.7109375" style="36" customWidth="1"/>
    <col min="14615" max="14615" width="12.42578125" style="36" customWidth="1"/>
    <col min="14616" max="14616" width="8.7109375" style="36" customWidth="1"/>
    <col min="14617" max="14617" width="11" style="36" customWidth="1"/>
    <col min="14618" max="14618" width="8.7109375" style="36" customWidth="1"/>
    <col min="14619" max="14619" width="7.7109375" style="36" customWidth="1"/>
    <col min="14620" max="14622" width="9.42578125" style="36" customWidth="1"/>
    <col min="14623" max="14623" width="13" style="36" customWidth="1"/>
    <col min="14624" max="14624" width="8.7109375" style="36" customWidth="1"/>
    <col min="14625" max="14625" width="11" style="36" customWidth="1"/>
    <col min="14626" max="14626" width="9.28515625" style="36" customWidth="1"/>
    <col min="14627" max="14628" width="8.7109375" style="36" customWidth="1"/>
    <col min="14629" max="14630" width="8" style="36" customWidth="1"/>
    <col min="14631" max="14631" width="12.7109375" style="36" customWidth="1"/>
    <col min="14632" max="14632" width="8.7109375" style="36" customWidth="1"/>
    <col min="14633" max="14633" width="12.7109375" style="36" customWidth="1"/>
    <col min="14634" max="14634" width="8.7109375" style="36" customWidth="1"/>
    <col min="14635" max="14635" width="9.42578125" style="36" customWidth="1"/>
    <col min="14636" max="14848" width="9.140625" style="36"/>
    <col min="14849" max="14849" width="6" style="36" customWidth="1"/>
    <col min="14850" max="14850" width="44.7109375" style="36" customWidth="1"/>
    <col min="14851" max="14851" width="7.28515625" style="36" customWidth="1"/>
    <col min="14852" max="14854" width="8.7109375" style="36" customWidth="1"/>
    <col min="14855" max="14855" width="12.42578125" style="36" customWidth="1"/>
    <col min="14856" max="14856" width="8.7109375" style="36" customWidth="1"/>
    <col min="14857" max="14857" width="11" style="36" customWidth="1"/>
    <col min="14858" max="14858" width="8.7109375" style="36" customWidth="1"/>
    <col min="14859" max="14859" width="7.7109375" style="36" customWidth="1"/>
    <col min="14860" max="14862" width="8.7109375" style="36" customWidth="1"/>
    <col min="14863" max="14863" width="13" style="36" customWidth="1"/>
    <col min="14864" max="14864" width="8.7109375" style="36" customWidth="1"/>
    <col min="14865" max="14865" width="11" style="36" customWidth="1"/>
    <col min="14866" max="14866" width="9.28515625" style="36" customWidth="1"/>
    <col min="14867" max="14867" width="7.28515625" style="36" customWidth="1"/>
    <col min="14868" max="14870" width="8.7109375" style="36" customWidth="1"/>
    <col min="14871" max="14871" width="12.42578125" style="36" customWidth="1"/>
    <col min="14872" max="14872" width="8.7109375" style="36" customWidth="1"/>
    <col min="14873" max="14873" width="11" style="36" customWidth="1"/>
    <col min="14874" max="14874" width="8.7109375" style="36" customWidth="1"/>
    <col min="14875" max="14875" width="7.7109375" style="36" customWidth="1"/>
    <col min="14876" max="14878" width="9.42578125" style="36" customWidth="1"/>
    <col min="14879" max="14879" width="13" style="36" customWidth="1"/>
    <col min="14880" max="14880" width="8.7109375" style="36" customWidth="1"/>
    <col min="14881" max="14881" width="11" style="36" customWidth="1"/>
    <col min="14882" max="14882" width="9.28515625" style="36" customWidth="1"/>
    <col min="14883" max="14884" width="8.7109375" style="36" customWidth="1"/>
    <col min="14885" max="14886" width="8" style="36" customWidth="1"/>
    <col min="14887" max="14887" width="12.7109375" style="36" customWidth="1"/>
    <col min="14888" max="14888" width="8.7109375" style="36" customWidth="1"/>
    <col min="14889" max="14889" width="12.7109375" style="36" customWidth="1"/>
    <col min="14890" max="14890" width="8.7109375" style="36" customWidth="1"/>
    <col min="14891" max="14891" width="9.42578125" style="36" customWidth="1"/>
    <col min="14892" max="15104" width="9.140625" style="36"/>
    <col min="15105" max="15105" width="6" style="36" customWidth="1"/>
    <col min="15106" max="15106" width="44.7109375" style="36" customWidth="1"/>
    <col min="15107" max="15107" width="7.28515625" style="36" customWidth="1"/>
    <col min="15108" max="15110" width="8.7109375" style="36" customWidth="1"/>
    <col min="15111" max="15111" width="12.42578125" style="36" customWidth="1"/>
    <col min="15112" max="15112" width="8.7109375" style="36" customWidth="1"/>
    <col min="15113" max="15113" width="11" style="36" customWidth="1"/>
    <col min="15114" max="15114" width="8.7109375" style="36" customWidth="1"/>
    <col min="15115" max="15115" width="7.7109375" style="36" customWidth="1"/>
    <col min="15116" max="15118" width="8.7109375" style="36" customWidth="1"/>
    <col min="15119" max="15119" width="13" style="36" customWidth="1"/>
    <col min="15120" max="15120" width="8.7109375" style="36" customWidth="1"/>
    <col min="15121" max="15121" width="11" style="36" customWidth="1"/>
    <col min="15122" max="15122" width="9.28515625" style="36" customWidth="1"/>
    <col min="15123" max="15123" width="7.28515625" style="36" customWidth="1"/>
    <col min="15124" max="15126" width="8.7109375" style="36" customWidth="1"/>
    <col min="15127" max="15127" width="12.42578125" style="36" customWidth="1"/>
    <col min="15128" max="15128" width="8.7109375" style="36" customWidth="1"/>
    <col min="15129" max="15129" width="11" style="36" customWidth="1"/>
    <col min="15130" max="15130" width="8.7109375" style="36" customWidth="1"/>
    <col min="15131" max="15131" width="7.7109375" style="36" customWidth="1"/>
    <col min="15132" max="15134" width="9.42578125" style="36" customWidth="1"/>
    <col min="15135" max="15135" width="13" style="36" customWidth="1"/>
    <col min="15136" max="15136" width="8.7109375" style="36" customWidth="1"/>
    <col min="15137" max="15137" width="11" style="36" customWidth="1"/>
    <col min="15138" max="15138" width="9.28515625" style="36" customWidth="1"/>
    <col min="15139" max="15140" width="8.7109375" style="36" customWidth="1"/>
    <col min="15141" max="15142" width="8" style="36" customWidth="1"/>
    <col min="15143" max="15143" width="12.7109375" style="36" customWidth="1"/>
    <col min="15144" max="15144" width="8.7109375" style="36" customWidth="1"/>
    <col min="15145" max="15145" width="12.7109375" style="36" customWidth="1"/>
    <col min="15146" max="15146" width="8.7109375" style="36" customWidth="1"/>
    <col min="15147" max="15147" width="9.42578125" style="36" customWidth="1"/>
    <col min="15148" max="15360" width="9.140625" style="36"/>
    <col min="15361" max="15361" width="6" style="36" customWidth="1"/>
    <col min="15362" max="15362" width="44.7109375" style="36" customWidth="1"/>
    <col min="15363" max="15363" width="7.28515625" style="36" customWidth="1"/>
    <col min="15364" max="15366" width="8.7109375" style="36" customWidth="1"/>
    <col min="15367" max="15367" width="12.42578125" style="36" customWidth="1"/>
    <col min="15368" max="15368" width="8.7109375" style="36" customWidth="1"/>
    <col min="15369" max="15369" width="11" style="36" customWidth="1"/>
    <col min="15370" max="15370" width="8.7109375" style="36" customWidth="1"/>
    <col min="15371" max="15371" width="7.7109375" style="36" customWidth="1"/>
    <col min="15372" max="15374" width="8.7109375" style="36" customWidth="1"/>
    <col min="15375" max="15375" width="13" style="36" customWidth="1"/>
    <col min="15376" max="15376" width="8.7109375" style="36" customWidth="1"/>
    <col min="15377" max="15377" width="11" style="36" customWidth="1"/>
    <col min="15378" max="15378" width="9.28515625" style="36" customWidth="1"/>
    <col min="15379" max="15379" width="7.28515625" style="36" customWidth="1"/>
    <col min="15380" max="15382" width="8.7109375" style="36" customWidth="1"/>
    <col min="15383" max="15383" width="12.42578125" style="36" customWidth="1"/>
    <col min="15384" max="15384" width="8.7109375" style="36" customWidth="1"/>
    <col min="15385" max="15385" width="11" style="36" customWidth="1"/>
    <col min="15386" max="15386" width="8.7109375" style="36" customWidth="1"/>
    <col min="15387" max="15387" width="7.7109375" style="36" customWidth="1"/>
    <col min="15388" max="15390" width="9.42578125" style="36" customWidth="1"/>
    <col min="15391" max="15391" width="13" style="36" customWidth="1"/>
    <col min="15392" max="15392" width="8.7109375" style="36" customWidth="1"/>
    <col min="15393" max="15393" width="11" style="36" customWidth="1"/>
    <col min="15394" max="15394" width="9.28515625" style="36" customWidth="1"/>
    <col min="15395" max="15396" width="8.7109375" style="36" customWidth="1"/>
    <col min="15397" max="15398" width="8" style="36" customWidth="1"/>
    <col min="15399" max="15399" width="12.7109375" style="36" customWidth="1"/>
    <col min="15400" max="15400" width="8.7109375" style="36" customWidth="1"/>
    <col min="15401" max="15401" width="12.7109375" style="36" customWidth="1"/>
    <col min="15402" max="15402" width="8.7109375" style="36" customWidth="1"/>
    <col min="15403" max="15403" width="9.42578125" style="36" customWidth="1"/>
    <col min="15404" max="15616" width="9.140625" style="36"/>
    <col min="15617" max="15617" width="6" style="36" customWidth="1"/>
    <col min="15618" max="15618" width="44.7109375" style="36" customWidth="1"/>
    <col min="15619" max="15619" width="7.28515625" style="36" customWidth="1"/>
    <col min="15620" max="15622" width="8.7109375" style="36" customWidth="1"/>
    <col min="15623" max="15623" width="12.42578125" style="36" customWidth="1"/>
    <col min="15624" max="15624" width="8.7109375" style="36" customWidth="1"/>
    <col min="15625" max="15625" width="11" style="36" customWidth="1"/>
    <col min="15626" max="15626" width="8.7109375" style="36" customWidth="1"/>
    <col min="15627" max="15627" width="7.7109375" style="36" customWidth="1"/>
    <col min="15628" max="15630" width="8.7109375" style="36" customWidth="1"/>
    <col min="15631" max="15631" width="13" style="36" customWidth="1"/>
    <col min="15632" max="15632" width="8.7109375" style="36" customWidth="1"/>
    <col min="15633" max="15633" width="11" style="36" customWidth="1"/>
    <col min="15634" max="15634" width="9.28515625" style="36" customWidth="1"/>
    <col min="15635" max="15635" width="7.28515625" style="36" customWidth="1"/>
    <col min="15636" max="15638" width="8.7109375" style="36" customWidth="1"/>
    <col min="15639" max="15639" width="12.42578125" style="36" customWidth="1"/>
    <col min="15640" max="15640" width="8.7109375" style="36" customWidth="1"/>
    <col min="15641" max="15641" width="11" style="36" customWidth="1"/>
    <col min="15642" max="15642" width="8.7109375" style="36" customWidth="1"/>
    <col min="15643" max="15643" width="7.7109375" style="36" customWidth="1"/>
    <col min="15644" max="15646" width="9.42578125" style="36" customWidth="1"/>
    <col min="15647" max="15647" width="13" style="36" customWidth="1"/>
    <col min="15648" max="15648" width="8.7109375" style="36" customWidth="1"/>
    <col min="15649" max="15649" width="11" style="36" customWidth="1"/>
    <col min="15650" max="15650" width="9.28515625" style="36" customWidth="1"/>
    <col min="15651" max="15652" width="8.7109375" style="36" customWidth="1"/>
    <col min="15653" max="15654" width="8" style="36" customWidth="1"/>
    <col min="15655" max="15655" width="12.7109375" style="36" customWidth="1"/>
    <col min="15656" max="15656" width="8.7109375" style="36" customWidth="1"/>
    <col min="15657" max="15657" width="12.7109375" style="36" customWidth="1"/>
    <col min="15658" max="15658" width="8.7109375" style="36" customWidth="1"/>
    <col min="15659" max="15659" width="9.42578125" style="36" customWidth="1"/>
    <col min="15660" max="15872" width="9.140625" style="36"/>
    <col min="15873" max="15873" width="6" style="36" customWidth="1"/>
    <col min="15874" max="15874" width="44.7109375" style="36" customWidth="1"/>
    <col min="15875" max="15875" width="7.28515625" style="36" customWidth="1"/>
    <col min="15876" max="15878" width="8.7109375" style="36" customWidth="1"/>
    <col min="15879" max="15879" width="12.42578125" style="36" customWidth="1"/>
    <col min="15880" max="15880" width="8.7109375" style="36" customWidth="1"/>
    <col min="15881" max="15881" width="11" style="36" customWidth="1"/>
    <col min="15882" max="15882" width="8.7109375" style="36" customWidth="1"/>
    <col min="15883" max="15883" width="7.7109375" style="36" customWidth="1"/>
    <col min="15884" max="15886" width="8.7109375" style="36" customWidth="1"/>
    <col min="15887" max="15887" width="13" style="36" customWidth="1"/>
    <col min="15888" max="15888" width="8.7109375" style="36" customWidth="1"/>
    <col min="15889" max="15889" width="11" style="36" customWidth="1"/>
    <col min="15890" max="15890" width="9.28515625" style="36" customWidth="1"/>
    <col min="15891" max="15891" width="7.28515625" style="36" customWidth="1"/>
    <col min="15892" max="15894" width="8.7109375" style="36" customWidth="1"/>
    <col min="15895" max="15895" width="12.42578125" style="36" customWidth="1"/>
    <col min="15896" max="15896" width="8.7109375" style="36" customWidth="1"/>
    <col min="15897" max="15897" width="11" style="36" customWidth="1"/>
    <col min="15898" max="15898" width="8.7109375" style="36" customWidth="1"/>
    <col min="15899" max="15899" width="7.7109375" style="36" customWidth="1"/>
    <col min="15900" max="15902" width="9.42578125" style="36" customWidth="1"/>
    <col min="15903" max="15903" width="13" style="36" customWidth="1"/>
    <col min="15904" max="15904" width="8.7109375" style="36" customWidth="1"/>
    <col min="15905" max="15905" width="11" style="36" customWidth="1"/>
    <col min="15906" max="15906" width="9.28515625" style="36" customWidth="1"/>
    <col min="15907" max="15908" width="8.7109375" style="36" customWidth="1"/>
    <col min="15909" max="15910" width="8" style="36" customWidth="1"/>
    <col min="15911" max="15911" width="12.7109375" style="36" customWidth="1"/>
    <col min="15912" max="15912" width="8.7109375" style="36" customWidth="1"/>
    <col min="15913" max="15913" width="12.7109375" style="36" customWidth="1"/>
    <col min="15914" max="15914" width="8.7109375" style="36" customWidth="1"/>
    <col min="15915" max="15915" width="9.42578125" style="36" customWidth="1"/>
    <col min="15916" max="16128" width="9.140625" style="36"/>
    <col min="16129" max="16129" width="6" style="36" customWidth="1"/>
    <col min="16130" max="16130" width="44.7109375" style="36" customWidth="1"/>
    <col min="16131" max="16131" width="7.28515625" style="36" customWidth="1"/>
    <col min="16132" max="16134" width="8.7109375" style="36" customWidth="1"/>
    <col min="16135" max="16135" width="12.42578125" style="36" customWidth="1"/>
    <col min="16136" max="16136" width="8.7109375" style="36" customWidth="1"/>
    <col min="16137" max="16137" width="11" style="36" customWidth="1"/>
    <col min="16138" max="16138" width="8.7109375" style="36" customWidth="1"/>
    <col min="16139" max="16139" width="7.7109375" style="36" customWidth="1"/>
    <col min="16140" max="16142" width="8.7109375" style="36" customWidth="1"/>
    <col min="16143" max="16143" width="13" style="36" customWidth="1"/>
    <col min="16144" max="16144" width="8.7109375" style="36" customWidth="1"/>
    <col min="16145" max="16145" width="11" style="36" customWidth="1"/>
    <col min="16146" max="16146" width="9.28515625" style="36" customWidth="1"/>
    <col min="16147" max="16147" width="7.28515625" style="36" customWidth="1"/>
    <col min="16148" max="16150" width="8.7109375" style="36" customWidth="1"/>
    <col min="16151" max="16151" width="12.42578125" style="36" customWidth="1"/>
    <col min="16152" max="16152" width="8.7109375" style="36" customWidth="1"/>
    <col min="16153" max="16153" width="11" style="36" customWidth="1"/>
    <col min="16154" max="16154" width="8.7109375" style="36" customWidth="1"/>
    <col min="16155" max="16155" width="7.7109375" style="36" customWidth="1"/>
    <col min="16156" max="16158" width="9.42578125" style="36" customWidth="1"/>
    <col min="16159" max="16159" width="13" style="36" customWidth="1"/>
    <col min="16160" max="16160" width="8.7109375" style="36" customWidth="1"/>
    <col min="16161" max="16161" width="11" style="36" customWidth="1"/>
    <col min="16162" max="16162" width="9.28515625" style="36" customWidth="1"/>
    <col min="16163" max="16164" width="8.7109375" style="36" customWidth="1"/>
    <col min="16165" max="16166" width="8" style="36" customWidth="1"/>
    <col min="16167" max="16167" width="12.7109375" style="36" customWidth="1"/>
    <col min="16168" max="16168" width="8.7109375" style="36" customWidth="1"/>
    <col min="16169" max="16169" width="12.7109375" style="36" customWidth="1"/>
    <col min="16170" max="16170" width="8.7109375" style="36" customWidth="1"/>
    <col min="16171" max="16171" width="9.42578125" style="36" customWidth="1"/>
    <col min="16172" max="16384" width="9.140625" style="36"/>
  </cols>
  <sheetData>
    <row r="1" spans="1:43" s="28" customFormat="1" ht="25.5" customHeight="1">
      <c r="A1" s="1258" t="s">
        <v>595</v>
      </c>
      <c r="B1" s="1258"/>
      <c r="C1" s="1258"/>
      <c r="D1" s="1258"/>
      <c r="E1" s="1258"/>
      <c r="F1" s="1258"/>
      <c r="G1" s="1258"/>
      <c r="H1" s="1258"/>
      <c r="I1" s="1258"/>
      <c r="J1" s="1258"/>
      <c r="K1" s="1258"/>
      <c r="L1" s="1258"/>
      <c r="M1" s="1258"/>
      <c r="N1" s="1258"/>
      <c r="O1" s="1258"/>
      <c r="P1" s="1258"/>
      <c r="Q1" s="1258"/>
      <c r="R1" s="48"/>
      <c r="S1" s="49"/>
      <c r="T1" s="49"/>
      <c r="U1" s="49"/>
      <c r="V1" s="37"/>
      <c r="W1" s="37"/>
      <c r="X1" s="37"/>
      <c r="Y1" s="37"/>
      <c r="Z1" s="37"/>
      <c r="AA1" s="1335" t="s">
        <v>1</v>
      </c>
      <c r="AB1" s="1335"/>
      <c r="AC1" s="1335"/>
      <c r="AD1" s="1335"/>
      <c r="AE1" s="1335"/>
      <c r="AF1" s="1335"/>
      <c r="AG1" s="1335"/>
      <c r="AH1" s="1335"/>
      <c r="AI1" s="1335"/>
      <c r="AJ1" s="1335"/>
      <c r="AK1" s="1335"/>
      <c r="AL1" s="1335"/>
      <c r="AM1" s="1335"/>
      <c r="AN1" s="1335"/>
      <c r="AO1" s="1335"/>
      <c r="AP1" s="1335"/>
      <c r="AQ1" s="1335"/>
    </row>
    <row r="2" spans="1:43" s="28" customFormat="1" ht="39" customHeight="1">
      <c r="A2" s="1336" t="s">
        <v>2</v>
      </c>
      <c r="B2" s="1336"/>
      <c r="C2" s="1336"/>
      <c r="D2" s="1336"/>
      <c r="E2" s="1336"/>
      <c r="F2" s="1336"/>
      <c r="G2" s="1336"/>
      <c r="H2" s="1336"/>
      <c r="I2" s="1336"/>
      <c r="J2" s="1336"/>
      <c r="K2" s="1336"/>
      <c r="L2" s="1336"/>
      <c r="M2" s="1336"/>
      <c r="N2" s="1336"/>
      <c r="O2" s="1336"/>
      <c r="P2" s="1336"/>
      <c r="Q2" s="1336"/>
      <c r="R2" s="50"/>
      <c r="S2" s="37"/>
      <c r="T2" s="37"/>
      <c r="U2" s="37"/>
      <c r="V2" s="37"/>
      <c r="W2" s="37"/>
      <c r="X2" s="37"/>
      <c r="Y2" s="37"/>
      <c r="Z2" s="37"/>
      <c r="AA2" s="1337" t="s">
        <v>3</v>
      </c>
      <c r="AB2" s="1337"/>
      <c r="AC2" s="1337"/>
      <c r="AD2" s="1337"/>
      <c r="AE2" s="1337"/>
      <c r="AF2" s="1337"/>
      <c r="AG2" s="1337"/>
      <c r="AH2" s="1337"/>
      <c r="AI2" s="1337"/>
      <c r="AJ2" s="1337"/>
      <c r="AK2" s="1337"/>
      <c r="AL2" s="1337"/>
      <c r="AM2" s="1337"/>
      <c r="AN2" s="1337"/>
      <c r="AO2" s="1337"/>
      <c r="AP2" s="1337"/>
      <c r="AQ2" s="1337"/>
    </row>
    <row r="3" spans="1:43" s="28" customFormat="1" ht="46.15" customHeight="1">
      <c r="A3" s="1338" t="s">
        <v>4</v>
      </c>
      <c r="B3" s="1338"/>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c r="AN3" s="1338"/>
      <c r="AO3" s="1338"/>
      <c r="AP3" s="1338"/>
      <c r="AQ3" s="1338"/>
    </row>
    <row r="4" spans="1:43" s="29" customFormat="1" ht="64.900000000000006" customHeight="1">
      <c r="A4" s="1330" t="s">
        <v>596</v>
      </c>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row>
    <row r="5" spans="1:43" s="28" customFormat="1" ht="33" customHeight="1">
      <c r="A5" s="1331" t="s">
        <v>6</v>
      </c>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row>
    <row r="6" spans="1:43" s="30" customFormat="1" ht="41.65" customHeight="1">
      <c r="A6" s="1197" t="s">
        <v>7</v>
      </c>
      <c r="B6" s="1197" t="s">
        <v>8</v>
      </c>
      <c r="C6" s="1197" t="s">
        <v>597</v>
      </c>
      <c r="D6" s="1197"/>
      <c r="E6" s="1197"/>
      <c r="F6" s="1197"/>
      <c r="G6" s="1197"/>
      <c r="H6" s="1197"/>
      <c r="I6" s="1197"/>
      <c r="J6" s="1197"/>
      <c r="K6" s="1197"/>
      <c r="L6" s="1197"/>
      <c r="M6" s="1197"/>
      <c r="N6" s="1197"/>
      <c r="O6" s="1197"/>
      <c r="P6" s="1197"/>
      <c r="Q6" s="1197"/>
      <c r="R6" s="1197"/>
      <c r="S6" s="1332" t="s">
        <v>598</v>
      </c>
      <c r="T6" s="1333"/>
      <c r="U6" s="1333"/>
      <c r="V6" s="1333"/>
      <c r="W6" s="1333"/>
      <c r="X6" s="1333"/>
      <c r="Y6" s="1333"/>
      <c r="Z6" s="1333"/>
      <c r="AA6" s="1333"/>
      <c r="AB6" s="1333"/>
      <c r="AC6" s="1333"/>
      <c r="AD6" s="1333"/>
      <c r="AE6" s="1333"/>
      <c r="AF6" s="1333"/>
      <c r="AG6" s="1333"/>
      <c r="AH6" s="1333"/>
      <c r="AI6" s="1322" t="s">
        <v>599</v>
      </c>
      <c r="AJ6" s="1323"/>
      <c r="AK6" s="1323"/>
      <c r="AL6" s="1323"/>
      <c r="AM6" s="1323"/>
      <c r="AN6" s="1323"/>
      <c r="AO6" s="1323"/>
      <c r="AP6" s="1324"/>
      <c r="AQ6" s="1197" t="s">
        <v>11</v>
      </c>
    </row>
    <row r="7" spans="1:43" s="30" customFormat="1" ht="41.65" customHeight="1">
      <c r="A7" s="1197"/>
      <c r="B7" s="1197"/>
      <c r="C7" s="1197" t="s">
        <v>17</v>
      </c>
      <c r="D7" s="1197"/>
      <c r="E7" s="1197"/>
      <c r="F7" s="1197"/>
      <c r="G7" s="1197"/>
      <c r="H7" s="1197"/>
      <c r="I7" s="1197"/>
      <c r="J7" s="1197"/>
      <c r="K7" s="1197" t="s">
        <v>600</v>
      </c>
      <c r="L7" s="1197"/>
      <c r="M7" s="1197"/>
      <c r="N7" s="1197"/>
      <c r="O7" s="1197"/>
      <c r="P7" s="1197"/>
      <c r="Q7" s="1197"/>
      <c r="R7" s="1197"/>
      <c r="S7" s="1332" t="s">
        <v>17</v>
      </c>
      <c r="T7" s="1333"/>
      <c r="U7" s="1333"/>
      <c r="V7" s="1333"/>
      <c r="W7" s="1333"/>
      <c r="X7" s="1333"/>
      <c r="Y7" s="1333"/>
      <c r="Z7" s="1334"/>
      <c r="AA7" s="1333" t="s">
        <v>601</v>
      </c>
      <c r="AB7" s="1333"/>
      <c r="AC7" s="1333"/>
      <c r="AD7" s="1333"/>
      <c r="AE7" s="1333"/>
      <c r="AF7" s="1333"/>
      <c r="AG7" s="1333"/>
      <c r="AH7" s="1334"/>
      <c r="AI7" s="1325"/>
      <c r="AJ7" s="1326"/>
      <c r="AK7" s="1326"/>
      <c r="AL7" s="1326"/>
      <c r="AM7" s="1326"/>
      <c r="AN7" s="1326"/>
      <c r="AO7" s="1326"/>
      <c r="AP7" s="1327"/>
      <c r="AQ7" s="1197"/>
    </row>
    <row r="8" spans="1:43" s="30" customFormat="1" ht="41.65" customHeight="1">
      <c r="A8" s="1197"/>
      <c r="B8" s="1197"/>
      <c r="C8" s="1197" t="s">
        <v>17</v>
      </c>
      <c r="D8" s="1197" t="s">
        <v>18</v>
      </c>
      <c r="E8" s="1197"/>
      <c r="F8" s="1197" t="s">
        <v>19</v>
      </c>
      <c r="G8" s="1328" t="s">
        <v>20</v>
      </c>
      <c r="H8" s="1197" t="s">
        <v>21</v>
      </c>
      <c r="I8" s="1328" t="s">
        <v>24</v>
      </c>
      <c r="J8" s="1197" t="s">
        <v>23</v>
      </c>
      <c r="K8" s="1197" t="s">
        <v>17</v>
      </c>
      <c r="L8" s="1197" t="s">
        <v>18</v>
      </c>
      <c r="M8" s="1197"/>
      <c r="N8" s="1197" t="s">
        <v>19</v>
      </c>
      <c r="O8" s="1328" t="s">
        <v>20</v>
      </c>
      <c r="P8" s="1197" t="s">
        <v>21</v>
      </c>
      <c r="Q8" s="1197" t="s">
        <v>22</v>
      </c>
      <c r="R8" s="1197" t="s">
        <v>23</v>
      </c>
      <c r="S8" s="1197" t="s">
        <v>17</v>
      </c>
      <c r="T8" s="1197" t="s">
        <v>18</v>
      </c>
      <c r="U8" s="1197"/>
      <c r="V8" s="1197" t="s">
        <v>19</v>
      </c>
      <c r="W8" s="1328" t="s">
        <v>20</v>
      </c>
      <c r="X8" s="1197" t="s">
        <v>21</v>
      </c>
      <c r="Y8" s="1328" t="s">
        <v>24</v>
      </c>
      <c r="Z8" s="1197" t="s">
        <v>23</v>
      </c>
      <c r="AA8" s="1197" t="s">
        <v>17</v>
      </c>
      <c r="AB8" s="1197" t="s">
        <v>18</v>
      </c>
      <c r="AC8" s="1197"/>
      <c r="AD8" s="1197" t="s">
        <v>19</v>
      </c>
      <c r="AE8" s="1328" t="s">
        <v>20</v>
      </c>
      <c r="AF8" s="1197" t="s">
        <v>21</v>
      </c>
      <c r="AG8" s="1197" t="s">
        <v>22</v>
      </c>
      <c r="AH8" s="1197" t="s">
        <v>23</v>
      </c>
      <c r="AI8" s="1197" t="s">
        <v>17</v>
      </c>
      <c r="AJ8" s="1197" t="s">
        <v>18</v>
      </c>
      <c r="AK8" s="1197"/>
      <c r="AL8" s="1197" t="s">
        <v>19</v>
      </c>
      <c r="AM8" s="1328" t="s">
        <v>20</v>
      </c>
      <c r="AN8" s="1197" t="s">
        <v>21</v>
      </c>
      <c r="AO8" s="1328" t="s">
        <v>24</v>
      </c>
      <c r="AP8" s="1197" t="s">
        <v>23</v>
      </c>
      <c r="AQ8" s="1197"/>
    </row>
    <row r="9" spans="1:43" s="30" customFormat="1" ht="154.9" customHeight="1">
      <c r="A9" s="1197"/>
      <c r="B9" s="1197"/>
      <c r="C9" s="1197"/>
      <c r="D9" s="39" t="s">
        <v>25</v>
      </c>
      <c r="E9" s="39" t="s">
        <v>26</v>
      </c>
      <c r="F9" s="1197"/>
      <c r="G9" s="1329"/>
      <c r="H9" s="1197"/>
      <c r="I9" s="1329"/>
      <c r="J9" s="1197"/>
      <c r="K9" s="1197"/>
      <c r="L9" s="39" t="s">
        <v>25</v>
      </c>
      <c r="M9" s="39" t="s">
        <v>26</v>
      </c>
      <c r="N9" s="1197"/>
      <c r="O9" s="1329"/>
      <c r="P9" s="1197"/>
      <c r="Q9" s="1197"/>
      <c r="R9" s="1197"/>
      <c r="S9" s="1197"/>
      <c r="T9" s="39" t="s">
        <v>25</v>
      </c>
      <c r="U9" s="39" t="s">
        <v>26</v>
      </c>
      <c r="V9" s="1197"/>
      <c r="W9" s="1329"/>
      <c r="X9" s="1197"/>
      <c r="Y9" s="1329"/>
      <c r="Z9" s="1197"/>
      <c r="AA9" s="1197"/>
      <c r="AB9" s="39" t="s">
        <v>25</v>
      </c>
      <c r="AC9" s="39" t="s">
        <v>26</v>
      </c>
      <c r="AD9" s="1197"/>
      <c r="AE9" s="1329"/>
      <c r="AF9" s="1197"/>
      <c r="AG9" s="1197"/>
      <c r="AH9" s="1197"/>
      <c r="AI9" s="1197"/>
      <c r="AJ9" s="39" t="s">
        <v>25</v>
      </c>
      <c r="AK9" s="39" t="s">
        <v>26</v>
      </c>
      <c r="AL9" s="1197"/>
      <c r="AM9" s="1329"/>
      <c r="AN9" s="1197"/>
      <c r="AO9" s="1329"/>
      <c r="AP9" s="1197"/>
      <c r="AQ9" s="1197"/>
    </row>
    <row r="10" spans="1:43" s="31" customFormat="1" ht="24" customHeight="1">
      <c r="A10" s="40">
        <v>1</v>
      </c>
      <c r="B10" s="40">
        <v>2</v>
      </c>
      <c r="C10" s="40">
        <v>3</v>
      </c>
      <c r="D10" s="40">
        <v>4</v>
      </c>
      <c r="E10" s="40">
        <v>5</v>
      </c>
      <c r="F10" s="40">
        <v>6</v>
      </c>
      <c r="G10" s="40">
        <v>7</v>
      </c>
      <c r="H10" s="40">
        <v>8</v>
      </c>
      <c r="I10" s="40">
        <v>9</v>
      </c>
      <c r="J10" s="40">
        <v>10</v>
      </c>
      <c r="K10" s="40">
        <v>11</v>
      </c>
      <c r="L10" s="40">
        <v>12</v>
      </c>
      <c r="M10" s="40">
        <v>13</v>
      </c>
      <c r="N10" s="40">
        <v>14</v>
      </c>
      <c r="O10" s="40">
        <v>15</v>
      </c>
      <c r="P10" s="40">
        <v>16</v>
      </c>
      <c r="Q10" s="40">
        <v>17</v>
      </c>
      <c r="R10" s="40">
        <v>18</v>
      </c>
      <c r="S10" s="40">
        <v>19</v>
      </c>
      <c r="T10" s="40">
        <v>20</v>
      </c>
      <c r="U10" s="40">
        <v>21</v>
      </c>
      <c r="V10" s="40">
        <v>22</v>
      </c>
      <c r="W10" s="40">
        <v>23</v>
      </c>
      <c r="X10" s="40">
        <v>24</v>
      </c>
      <c r="Y10" s="40">
        <v>25</v>
      </c>
      <c r="Z10" s="40">
        <v>26</v>
      </c>
      <c r="AA10" s="40">
        <v>27</v>
      </c>
      <c r="AB10" s="40">
        <v>28</v>
      </c>
      <c r="AC10" s="40">
        <v>29</v>
      </c>
      <c r="AD10" s="40">
        <v>30</v>
      </c>
      <c r="AE10" s="40">
        <v>31</v>
      </c>
      <c r="AF10" s="40">
        <v>32</v>
      </c>
      <c r="AG10" s="40">
        <v>33</v>
      </c>
      <c r="AH10" s="40">
        <v>34</v>
      </c>
      <c r="AI10" s="40">
        <v>35</v>
      </c>
      <c r="AJ10" s="40">
        <v>36</v>
      </c>
      <c r="AK10" s="40">
        <v>37</v>
      </c>
      <c r="AL10" s="40">
        <v>38</v>
      </c>
      <c r="AM10" s="40">
        <v>39</v>
      </c>
      <c r="AN10" s="40">
        <v>40</v>
      </c>
      <c r="AO10" s="40">
        <v>41</v>
      </c>
      <c r="AP10" s="40">
        <v>42</v>
      </c>
      <c r="AQ10" s="40">
        <v>43</v>
      </c>
    </row>
    <row r="11" spans="1:43" ht="36" customHeight="1">
      <c r="A11" s="38"/>
      <c r="B11" s="41" t="s">
        <v>27</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6"/>
    </row>
    <row r="12" spans="1:43" s="32" customFormat="1" ht="40.5" customHeight="1">
      <c r="A12" s="38">
        <v>1</v>
      </c>
      <c r="B12" s="42" t="s">
        <v>29</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51"/>
    </row>
    <row r="13" spans="1:43" s="32" customFormat="1" ht="28.5" customHeight="1">
      <c r="A13" s="38">
        <v>2</v>
      </c>
      <c r="B13" s="42" t="s">
        <v>31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51"/>
    </row>
    <row r="14" spans="1:43" s="32" customFormat="1" ht="36.75" customHeight="1">
      <c r="A14" s="38">
        <v>3</v>
      </c>
      <c r="B14" s="42" t="s">
        <v>33</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51"/>
    </row>
    <row r="15" spans="1:43" s="32" customFormat="1" ht="31.5" customHeight="1">
      <c r="A15" s="38">
        <v>4</v>
      </c>
      <c r="B15" s="42" t="s">
        <v>35</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51"/>
    </row>
    <row r="16" spans="1:43" s="32" customFormat="1" ht="36.75" customHeight="1">
      <c r="A16" s="38">
        <v>5</v>
      </c>
      <c r="B16" s="42" t="s">
        <v>37</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51"/>
    </row>
    <row r="17" spans="1:43" s="33" customFormat="1" ht="46.9" customHeight="1">
      <c r="A17" s="38">
        <v>6</v>
      </c>
      <c r="B17" s="42" t="s">
        <v>39</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52"/>
    </row>
    <row r="18" spans="1:43" s="33" customFormat="1" ht="35.65" customHeight="1">
      <c r="A18" s="38">
        <v>7</v>
      </c>
      <c r="B18" s="42" t="s">
        <v>41</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52"/>
    </row>
    <row r="19" spans="1:43" s="33" customFormat="1" ht="35.65" customHeight="1">
      <c r="A19" s="38">
        <v>8</v>
      </c>
      <c r="B19" s="42" t="s">
        <v>43</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52"/>
    </row>
    <row r="20" spans="1:43" s="34" customFormat="1" ht="35.65" customHeight="1">
      <c r="A20" s="38">
        <v>9</v>
      </c>
      <c r="B20" s="42" t="s">
        <v>45</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53"/>
    </row>
    <row r="21" spans="1:43" s="32" customFormat="1" ht="35.65" customHeight="1">
      <c r="A21" s="38">
        <v>10</v>
      </c>
      <c r="B21" s="42" t="s">
        <v>47</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51"/>
    </row>
    <row r="22" spans="1:43" s="32" customFormat="1" ht="35.65" customHeight="1">
      <c r="A22" s="38">
        <v>11</v>
      </c>
      <c r="B22" s="42" t="s">
        <v>49</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51"/>
    </row>
    <row r="23" spans="1:43" s="32" customFormat="1" ht="35.65" customHeight="1">
      <c r="A23" s="38">
        <v>12</v>
      </c>
      <c r="B23" s="42" t="s">
        <v>51</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51"/>
    </row>
    <row r="24" spans="1:43" s="32" customFormat="1" ht="35.65" customHeight="1">
      <c r="A24" s="38">
        <v>13</v>
      </c>
      <c r="B24" s="42" t="s">
        <v>53</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51"/>
    </row>
    <row r="25" spans="1:43" s="32" customFormat="1" ht="35.65" customHeight="1">
      <c r="A25" s="38">
        <v>14</v>
      </c>
      <c r="B25" s="42" t="s">
        <v>55</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51"/>
    </row>
    <row r="26" spans="1:43" s="32" customFormat="1" ht="35.65" customHeight="1">
      <c r="A26" s="38">
        <v>15</v>
      </c>
      <c r="B26" s="42" t="s">
        <v>57</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51"/>
    </row>
    <row r="27" spans="1:43" s="32" customFormat="1" ht="35.65" customHeight="1">
      <c r="A27" s="38">
        <v>16</v>
      </c>
      <c r="B27" s="42" t="s">
        <v>59</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51"/>
    </row>
    <row r="28" spans="1:43" s="32" customFormat="1" ht="35.65" customHeight="1">
      <c r="A28" s="38">
        <v>17</v>
      </c>
      <c r="B28" s="42" t="s">
        <v>61</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51"/>
    </row>
    <row r="29" spans="1:43" s="32" customFormat="1" ht="35.65" customHeight="1">
      <c r="A29" s="38">
        <v>18</v>
      </c>
      <c r="B29" s="42" t="s">
        <v>63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51"/>
    </row>
    <row r="30" spans="1:43" s="32" customFormat="1" ht="35.65" customHeight="1">
      <c r="A30" s="38">
        <v>19</v>
      </c>
      <c r="B30" s="42" t="s">
        <v>65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51"/>
    </row>
    <row r="31" spans="1:43" s="32" customFormat="1" ht="35.65" hidden="1" customHeight="1">
      <c r="A31" s="38">
        <v>20</v>
      </c>
      <c r="B31" s="42" t="s">
        <v>67</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51"/>
    </row>
    <row r="32" spans="1:43" ht="6" customHeight="1">
      <c r="A32" s="38"/>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row>
    <row r="33" spans="1:43" s="35" customFormat="1" ht="96.4" customHeight="1">
      <c r="A33" s="47"/>
      <c r="B33" s="1198" t="s">
        <v>602</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8"/>
      <c r="AL33" s="1198"/>
      <c r="AM33" s="1198"/>
      <c r="AN33" s="1198"/>
      <c r="AO33" s="1198"/>
      <c r="AP33" s="1198"/>
      <c r="AQ33" s="1198"/>
    </row>
  </sheetData>
  <mergeCells count="53">
    <mergeCell ref="A1:Q1"/>
    <mergeCell ref="AA1:AQ1"/>
    <mergeCell ref="A2:Q2"/>
    <mergeCell ref="AA2:AQ2"/>
    <mergeCell ref="A3:AQ3"/>
    <mergeCell ref="A4:AQ4"/>
    <mergeCell ref="A5:AQ5"/>
    <mergeCell ref="C6:R6"/>
    <mergeCell ref="S6:AH6"/>
    <mergeCell ref="C7:J7"/>
    <mergeCell ref="K7:R7"/>
    <mergeCell ref="S7:Z7"/>
    <mergeCell ref="AA7:AH7"/>
    <mergeCell ref="D8:E8"/>
    <mergeCell ref="L8:M8"/>
    <mergeCell ref="T8:U8"/>
    <mergeCell ref="AB8:AC8"/>
    <mergeCell ref="AJ8:AK8"/>
    <mergeCell ref="V8:V9"/>
    <mergeCell ref="W8:W9"/>
    <mergeCell ref="X8:X9"/>
    <mergeCell ref="Y8:Y9"/>
    <mergeCell ref="Z8:Z9"/>
    <mergeCell ref="AA8:AA9"/>
    <mergeCell ref="AD8:AD9"/>
    <mergeCell ref="AE8:AE9"/>
    <mergeCell ref="AF8:AF9"/>
    <mergeCell ref="AG8:AG9"/>
    <mergeCell ref="AH8:AH9"/>
    <mergeCell ref="B33:AQ33"/>
    <mergeCell ref="A6:A9"/>
    <mergeCell ref="B6:B9"/>
    <mergeCell ref="C8:C9"/>
    <mergeCell ref="F8:F9"/>
    <mergeCell ref="G8:G9"/>
    <mergeCell ref="H8:H9"/>
    <mergeCell ref="I8:I9"/>
    <mergeCell ref="J8:J9"/>
    <mergeCell ref="K8:K9"/>
    <mergeCell ref="N8:N9"/>
    <mergeCell ref="O8:O9"/>
    <mergeCell ref="P8:P9"/>
    <mergeCell ref="Q8:Q9"/>
    <mergeCell ref="R8:R9"/>
    <mergeCell ref="S8:S9"/>
    <mergeCell ref="AP8:AP9"/>
    <mergeCell ref="AQ6:AQ9"/>
    <mergeCell ref="AI6:AP7"/>
    <mergeCell ref="AI8:AI9"/>
    <mergeCell ref="AL8:AL9"/>
    <mergeCell ref="AM8:AM9"/>
    <mergeCell ref="AN8:AN9"/>
    <mergeCell ref="AO8:AO9"/>
  </mergeCells>
  <printOptions horizontalCentered="1"/>
  <pageMargins left="0.23622047244094499" right="0.23622047244094499" top="0.74803149606299202" bottom="0.74803149606299202" header="0.31496062992126" footer="0.31496062992126"/>
  <pageSetup paperSize="8" scale="45" fitToWidth="0" fitToHeight="0" pageOrder="overThenDown" orientation="landscape"/>
  <headerFooter>
    <oddFooter>&amp;R&amp;14&amp;P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VT31"/>
  <sheetViews>
    <sheetView zoomScale="85" zoomScaleNormal="85" workbookViewId="0">
      <selection activeCell="H18" sqref="H18"/>
    </sheetView>
  </sheetViews>
  <sheetFormatPr defaultColWidth="8.85546875" defaultRowHeight="15"/>
  <cols>
    <col min="2" max="2" width="37.140625" customWidth="1"/>
    <col min="3" max="3" width="11" customWidth="1"/>
    <col min="4" max="6" width="9.85546875" hidden="1" customWidth="1"/>
    <col min="7" max="7" width="18.42578125" customWidth="1"/>
    <col min="8" max="8" width="13.7109375" customWidth="1"/>
    <col min="9" max="9" width="13" customWidth="1"/>
    <col min="10" max="12" width="8.85546875" hidden="1" customWidth="1"/>
    <col min="13" max="14" width="10.140625" hidden="1" customWidth="1"/>
    <col min="15" max="20" width="13.28515625" customWidth="1"/>
    <col min="259" max="259" width="25" customWidth="1"/>
    <col min="260" max="265" width="9.85546875" customWidth="1"/>
    <col min="266" max="268" width="8.85546875" hidden="1" customWidth="1"/>
    <col min="269" max="276" width="10.140625" customWidth="1"/>
    <col min="515" max="515" width="25" customWidth="1"/>
    <col min="516" max="521" width="9.85546875" customWidth="1"/>
    <col min="522" max="524" width="8.85546875" hidden="1" customWidth="1"/>
    <col min="525" max="532" width="10.140625" customWidth="1"/>
    <col min="771" max="771" width="25" customWidth="1"/>
    <col min="772" max="777" width="9.85546875" customWidth="1"/>
    <col min="778" max="780" width="8.85546875" hidden="1" customWidth="1"/>
    <col min="781" max="788" width="10.140625" customWidth="1"/>
    <col min="1027" max="1027" width="25" customWidth="1"/>
    <col min="1028" max="1033" width="9.85546875" customWidth="1"/>
    <col min="1034" max="1036" width="8.85546875" hidden="1" customWidth="1"/>
    <col min="1037" max="1044" width="10.140625" customWidth="1"/>
    <col min="1283" max="1283" width="25" customWidth="1"/>
    <col min="1284" max="1289" width="9.85546875" customWidth="1"/>
    <col min="1290" max="1292" width="8.85546875" hidden="1" customWidth="1"/>
    <col min="1293" max="1300" width="10.140625" customWidth="1"/>
    <col min="1539" max="1539" width="25" customWidth="1"/>
    <col min="1540" max="1545" width="9.85546875" customWidth="1"/>
    <col min="1546" max="1548" width="8.85546875" hidden="1" customWidth="1"/>
    <col min="1549" max="1556" width="10.140625" customWidth="1"/>
    <col min="1795" max="1795" width="25" customWidth="1"/>
    <col min="1796" max="1801" width="9.85546875" customWidth="1"/>
    <col min="1802" max="1804" width="8.85546875" hidden="1" customWidth="1"/>
    <col min="1805" max="1812" width="10.140625" customWidth="1"/>
    <col min="2051" max="2051" width="25" customWidth="1"/>
    <col min="2052" max="2057" width="9.85546875" customWidth="1"/>
    <col min="2058" max="2060" width="8.85546875" hidden="1" customWidth="1"/>
    <col min="2061" max="2068" width="10.140625" customWidth="1"/>
    <col min="2307" max="2307" width="25" customWidth="1"/>
    <col min="2308" max="2313" width="9.85546875" customWidth="1"/>
    <col min="2314" max="2316" width="8.85546875" hidden="1" customWidth="1"/>
    <col min="2317" max="2324" width="10.140625" customWidth="1"/>
    <col min="2563" max="2563" width="25" customWidth="1"/>
    <col min="2564" max="2569" width="9.85546875" customWidth="1"/>
    <col min="2570" max="2572" width="8.85546875" hidden="1" customWidth="1"/>
    <col min="2573" max="2580" width="10.140625" customWidth="1"/>
    <col min="2819" max="2819" width="25" customWidth="1"/>
    <col min="2820" max="2825" width="9.85546875" customWidth="1"/>
    <col min="2826" max="2828" width="8.85546875" hidden="1" customWidth="1"/>
    <col min="2829" max="2836" width="10.140625" customWidth="1"/>
    <col min="3075" max="3075" width="25" customWidth="1"/>
    <col min="3076" max="3081" width="9.85546875" customWidth="1"/>
    <col min="3082" max="3084" width="8.85546875" hidden="1" customWidth="1"/>
    <col min="3085" max="3092" width="10.140625" customWidth="1"/>
    <col min="3331" max="3331" width="25" customWidth="1"/>
    <col min="3332" max="3337" width="9.85546875" customWidth="1"/>
    <col min="3338" max="3340" width="8.85546875" hidden="1" customWidth="1"/>
    <col min="3341" max="3348" width="10.140625" customWidth="1"/>
    <col min="3587" max="3587" width="25" customWidth="1"/>
    <col min="3588" max="3593" width="9.85546875" customWidth="1"/>
    <col min="3594" max="3596" width="8.85546875" hidden="1" customWidth="1"/>
    <col min="3597" max="3604" width="10.140625" customWidth="1"/>
    <col min="3843" max="3843" width="25" customWidth="1"/>
    <col min="3844" max="3849" width="9.85546875" customWidth="1"/>
    <col min="3850" max="3852" width="8.85546875" hidden="1" customWidth="1"/>
    <col min="3853" max="3860" width="10.140625" customWidth="1"/>
    <col min="4099" max="4099" width="25" customWidth="1"/>
    <col min="4100" max="4105" width="9.85546875" customWidth="1"/>
    <col min="4106" max="4108" width="8.85546875" hidden="1" customWidth="1"/>
    <col min="4109" max="4116" width="10.140625" customWidth="1"/>
    <col min="4355" max="4355" width="25" customWidth="1"/>
    <col min="4356" max="4361" width="9.85546875" customWidth="1"/>
    <col min="4362" max="4364" width="8.85546875" hidden="1" customWidth="1"/>
    <col min="4365" max="4372" width="10.140625" customWidth="1"/>
    <col min="4611" max="4611" width="25" customWidth="1"/>
    <col min="4612" max="4617" width="9.85546875" customWidth="1"/>
    <col min="4618" max="4620" width="8.85546875" hidden="1" customWidth="1"/>
    <col min="4621" max="4628" width="10.140625" customWidth="1"/>
    <col min="4867" max="4867" width="25" customWidth="1"/>
    <col min="4868" max="4873" width="9.85546875" customWidth="1"/>
    <col min="4874" max="4876" width="8.85546875" hidden="1" customWidth="1"/>
    <col min="4877" max="4884" width="10.140625" customWidth="1"/>
    <col min="5123" max="5123" width="25" customWidth="1"/>
    <col min="5124" max="5129" width="9.85546875" customWidth="1"/>
    <col min="5130" max="5132" width="8.85546875" hidden="1" customWidth="1"/>
    <col min="5133" max="5140" width="10.140625" customWidth="1"/>
    <col min="5379" max="5379" width="25" customWidth="1"/>
    <col min="5380" max="5385" width="9.85546875" customWidth="1"/>
    <col min="5386" max="5388" width="8.85546875" hidden="1" customWidth="1"/>
    <col min="5389" max="5396" width="10.140625" customWidth="1"/>
    <col min="5635" max="5635" width="25" customWidth="1"/>
    <col min="5636" max="5641" width="9.85546875" customWidth="1"/>
    <col min="5642" max="5644" width="8.85546875" hidden="1" customWidth="1"/>
    <col min="5645" max="5652" width="10.140625" customWidth="1"/>
    <col min="5891" max="5891" width="25" customWidth="1"/>
    <col min="5892" max="5897" width="9.85546875" customWidth="1"/>
    <col min="5898" max="5900" width="8.85546875" hidden="1" customWidth="1"/>
    <col min="5901" max="5908" width="10.140625" customWidth="1"/>
    <col min="6147" max="6147" width="25" customWidth="1"/>
    <col min="6148" max="6153" width="9.85546875" customWidth="1"/>
    <col min="6154" max="6156" width="8.85546875" hidden="1" customWidth="1"/>
    <col min="6157" max="6164" width="10.140625" customWidth="1"/>
    <col min="6403" max="6403" width="25" customWidth="1"/>
    <col min="6404" max="6409" width="9.85546875" customWidth="1"/>
    <col min="6410" max="6412" width="8.85546875" hidden="1" customWidth="1"/>
    <col min="6413" max="6420" width="10.140625" customWidth="1"/>
    <col min="6659" max="6659" width="25" customWidth="1"/>
    <col min="6660" max="6665" width="9.85546875" customWidth="1"/>
    <col min="6666" max="6668" width="8.85546875" hidden="1" customWidth="1"/>
    <col min="6669" max="6676" width="10.140625" customWidth="1"/>
    <col min="6915" max="6915" width="25" customWidth="1"/>
    <col min="6916" max="6921" width="9.85546875" customWidth="1"/>
    <col min="6922" max="6924" width="8.85546875" hidden="1" customWidth="1"/>
    <col min="6925" max="6932" width="10.140625" customWidth="1"/>
    <col min="7171" max="7171" width="25" customWidth="1"/>
    <col min="7172" max="7177" width="9.85546875" customWidth="1"/>
    <col min="7178" max="7180" width="8.85546875" hidden="1" customWidth="1"/>
    <col min="7181" max="7188" width="10.140625" customWidth="1"/>
    <col min="7427" max="7427" width="25" customWidth="1"/>
    <col min="7428" max="7433" width="9.85546875" customWidth="1"/>
    <col min="7434" max="7436" width="8.85546875" hidden="1" customWidth="1"/>
    <col min="7437" max="7444" width="10.140625" customWidth="1"/>
    <col min="7683" max="7683" width="25" customWidth="1"/>
    <col min="7684" max="7689" width="9.85546875" customWidth="1"/>
    <col min="7690" max="7692" width="8.85546875" hidden="1" customWidth="1"/>
    <col min="7693" max="7700" width="10.140625" customWidth="1"/>
    <col min="7939" max="7939" width="25" customWidth="1"/>
    <col min="7940" max="7945" width="9.85546875" customWidth="1"/>
    <col min="7946" max="7948" width="8.85546875" hidden="1" customWidth="1"/>
    <col min="7949" max="7956" width="10.140625" customWidth="1"/>
    <col min="8195" max="8195" width="25" customWidth="1"/>
    <col min="8196" max="8201" width="9.85546875" customWidth="1"/>
    <col min="8202" max="8204" width="8.85546875" hidden="1" customWidth="1"/>
    <col min="8205" max="8212" width="10.140625" customWidth="1"/>
    <col min="8451" max="8451" width="25" customWidth="1"/>
    <col min="8452" max="8457" width="9.85546875" customWidth="1"/>
    <col min="8458" max="8460" width="8.85546875" hidden="1" customWidth="1"/>
    <col min="8461" max="8468" width="10.140625" customWidth="1"/>
    <col min="8707" max="8707" width="25" customWidth="1"/>
    <col min="8708" max="8713" width="9.85546875" customWidth="1"/>
    <col min="8714" max="8716" width="8.85546875" hidden="1" customWidth="1"/>
    <col min="8717" max="8724" width="10.140625" customWidth="1"/>
    <col min="8963" max="8963" width="25" customWidth="1"/>
    <col min="8964" max="8969" width="9.85546875" customWidth="1"/>
    <col min="8970" max="8972" width="8.85546875" hidden="1" customWidth="1"/>
    <col min="8973" max="8980" width="10.140625" customWidth="1"/>
    <col min="9219" max="9219" width="25" customWidth="1"/>
    <col min="9220" max="9225" width="9.85546875" customWidth="1"/>
    <col min="9226" max="9228" width="8.85546875" hidden="1" customWidth="1"/>
    <col min="9229" max="9236" width="10.140625" customWidth="1"/>
    <col min="9475" max="9475" width="25" customWidth="1"/>
    <col min="9476" max="9481" width="9.85546875" customWidth="1"/>
    <col min="9482" max="9484" width="8.85546875" hidden="1" customWidth="1"/>
    <col min="9485" max="9492" width="10.140625" customWidth="1"/>
    <col min="9731" max="9731" width="25" customWidth="1"/>
    <col min="9732" max="9737" width="9.85546875" customWidth="1"/>
    <col min="9738" max="9740" width="8.85546875" hidden="1" customWidth="1"/>
    <col min="9741" max="9748" width="10.140625" customWidth="1"/>
    <col min="9987" max="9987" width="25" customWidth="1"/>
    <col min="9988" max="9993" width="9.85546875" customWidth="1"/>
    <col min="9994" max="9996" width="8.85546875" hidden="1" customWidth="1"/>
    <col min="9997" max="10004" width="10.140625" customWidth="1"/>
    <col min="10243" max="10243" width="25" customWidth="1"/>
    <col min="10244" max="10249" width="9.85546875" customWidth="1"/>
    <col min="10250" max="10252" width="8.85546875" hidden="1" customWidth="1"/>
    <col min="10253" max="10260" width="10.140625" customWidth="1"/>
    <col min="10499" max="10499" width="25" customWidth="1"/>
    <col min="10500" max="10505" width="9.85546875" customWidth="1"/>
    <col min="10506" max="10508" width="8.85546875" hidden="1" customWidth="1"/>
    <col min="10509" max="10516" width="10.140625" customWidth="1"/>
    <col min="10755" max="10755" width="25" customWidth="1"/>
    <col min="10756" max="10761" width="9.85546875" customWidth="1"/>
    <col min="10762" max="10764" width="8.85546875" hidden="1" customWidth="1"/>
    <col min="10765" max="10772" width="10.140625" customWidth="1"/>
    <col min="11011" max="11011" width="25" customWidth="1"/>
    <col min="11012" max="11017" width="9.85546875" customWidth="1"/>
    <col min="11018" max="11020" width="8.85546875" hidden="1" customWidth="1"/>
    <col min="11021" max="11028" width="10.140625" customWidth="1"/>
    <col min="11267" max="11267" width="25" customWidth="1"/>
    <col min="11268" max="11273" width="9.85546875" customWidth="1"/>
    <col min="11274" max="11276" width="8.85546875" hidden="1" customWidth="1"/>
    <col min="11277" max="11284" width="10.140625" customWidth="1"/>
    <col min="11523" max="11523" width="25" customWidth="1"/>
    <col min="11524" max="11529" width="9.85546875" customWidth="1"/>
    <col min="11530" max="11532" width="8.85546875" hidden="1" customWidth="1"/>
    <col min="11533" max="11540" width="10.140625" customWidth="1"/>
    <col min="11779" max="11779" width="25" customWidth="1"/>
    <col min="11780" max="11785" width="9.85546875" customWidth="1"/>
    <col min="11786" max="11788" width="8.85546875" hidden="1" customWidth="1"/>
    <col min="11789" max="11796" width="10.140625" customWidth="1"/>
    <col min="12035" max="12035" width="25" customWidth="1"/>
    <col min="12036" max="12041" width="9.85546875" customWidth="1"/>
    <col min="12042" max="12044" width="8.85546875" hidden="1" customWidth="1"/>
    <col min="12045" max="12052" width="10.140625" customWidth="1"/>
    <col min="12291" max="12291" width="25" customWidth="1"/>
    <col min="12292" max="12297" width="9.85546875" customWidth="1"/>
    <col min="12298" max="12300" width="8.85546875" hidden="1" customWidth="1"/>
    <col min="12301" max="12308" width="10.140625" customWidth="1"/>
    <col min="12547" max="12547" width="25" customWidth="1"/>
    <col min="12548" max="12553" width="9.85546875" customWidth="1"/>
    <col min="12554" max="12556" width="8.85546875" hidden="1" customWidth="1"/>
    <col min="12557" max="12564" width="10.140625" customWidth="1"/>
    <col min="12803" max="12803" width="25" customWidth="1"/>
    <col min="12804" max="12809" width="9.85546875" customWidth="1"/>
    <col min="12810" max="12812" width="8.85546875" hidden="1" customWidth="1"/>
    <col min="12813" max="12820" width="10.140625" customWidth="1"/>
    <col min="13059" max="13059" width="25" customWidth="1"/>
    <col min="13060" max="13065" width="9.85546875" customWidth="1"/>
    <col min="13066" max="13068" width="8.85546875" hidden="1" customWidth="1"/>
    <col min="13069" max="13076" width="10.140625" customWidth="1"/>
    <col min="13315" max="13315" width="25" customWidth="1"/>
    <col min="13316" max="13321" width="9.85546875" customWidth="1"/>
    <col min="13322" max="13324" width="8.85546875" hidden="1" customWidth="1"/>
    <col min="13325" max="13332" width="10.140625" customWidth="1"/>
    <col min="13571" max="13571" width="25" customWidth="1"/>
    <col min="13572" max="13577" width="9.85546875" customWidth="1"/>
    <col min="13578" max="13580" width="8.85546875" hidden="1" customWidth="1"/>
    <col min="13581" max="13588" width="10.140625" customWidth="1"/>
    <col min="13827" max="13827" width="25" customWidth="1"/>
    <col min="13828" max="13833" width="9.85546875" customWidth="1"/>
    <col min="13834" max="13836" width="8.85546875" hidden="1" customWidth="1"/>
    <col min="13837" max="13844" width="10.140625" customWidth="1"/>
    <col min="14083" max="14083" width="25" customWidth="1"/>
    <col min="14084" max="14089" width="9.85546875" customWidth="1"/>
    <col min="14090" max="14092" width="8.85546875" hidden="1" customWidth="1"/>
    <col min="14093" max="14100" width="10.140625" customWidth="1"/>
    <col min="14339" max="14339" width="25" customWidth="1"/>
    <col min="14340" max="14345" width="9.85546875" customWidth="1"/>
    <col min="14346" max="14348" width="8.85546875" hidden="1" customWidth="1"/>
    <col min="14349" max="14356" width="10.140625" customWidth="1"/>
    <col min="14595" max="14595" width="25" customWidth="1"/>
    <col min="14596" max="14601" width="9.85546875" customWidth="1"/>
    <col min="14602" max="14604" width="8.85546875" hidden="1" customWidth="1"/>
    <col min="14605" max="14612" width="10.140625" customWidth="1"/>
    <col min="14851" max="14851" width="25" customWidth="1"/>
    <col min="14852" max="14857" width="9.85546875" customWidth="1"/>
    <col min="14858" max="14860" width="8.85546875" hidden="1" customWidth="1"/>
    <col min="14861" max="14868" width="10.140625" customWidth="1"/>
    <col min="15107" max="15107" width="25" customWidth="1"/>
    <col min="15108" max="15113" width="9.85546875" customWidth="1"/>
    <col min="15114" max="15116" width="8.85546875" hidden="1" customWidth="1"/>
    <col min="15117" max="15124" width="10.140625" customWidth="1"/>
    <col min="15363" max="15363" width="25" customWidth="1"/>
    <col min="15364" max="15369" width="9.85546875" customWidth="1"/>
    <col min="15370" max="15372" width="8.85546875" hidden="1" customWidth="1"/>
    <col min="15373" max="15380" width="10.140625" customWidth="1"/>
    <col min="15619" max="15619" width="25" customWidth="1"/>
    <col min="15620" max="15625" width="9.85546875" customWidth="1"/>
    <col min="15626" max="15628" width="8.85546875" hidden="1" customWidth="1"/>
    <col min="15629" max="15636" width="10.140625" customWidth="1"/>
    <col min="15875" max="15875" width="25" customWidth="1"/>
    <col min="15876" max="15881" width="9.85546875" customWidth="1"/>
    <col min="15882" max="15884" width="8.85546875" hidden="1" customWidth="1"/>
    <col min="15885" max="15892" width="10.140625" customWidth="1"/>
    <col min="16131" max="16131" width="25" customWidth="1"/>
    <col min="16132" max="16137" width="9.85546875" customWidth="1"/>
    <col min="16138" max="16140" width="8.85546875" hidden="1" customWidth="1"/>
    <col min="16141" max="16148" width="10.140625" customWidth="1"/>
  </cols>
  <sheetData>
    <row r="1" spans="1:20" ht="24.75" customHeight="1">
      <c r="A1" s="1307" t="s">
        <v>603</v>
      </c>
      <c r="B1" s="1307"/>
      <c r="C1" s="1307"/>
      <c r="D1" s="1307"/>
      <c r="E1" s="1307"/>
      <c r="F1" s="1307"/>
      <c r="G1" s="1307"/>
      <c r="H1" s="1307"/>
      <c r="I1" s="1307"/>
      <c r="J1" s="1307"/>
      <c r="K1" s="1307"/>
      <c r="L1" s="1307"/>
      <c r="M1" s="22"/>
      <c r="N1" s="22"/>
      <c r="O1" s="22"/>
      <c r="P1" s="23" t="s">
        <v>1</v>
      </c>
      <c r="Q1" s="22"/>
      <c r="R1" s="22"/>
      <c r="S1" s="26"/>
      <c r="T1" s="27"/>
    </row>
    <row r="2" spans="1:20" ht="39" customHeight="1">
      <c r="A2" s="1203" t="s">
        <v>604</v>
      </c>
      <c r="B2" s="1203"/>
      <c r="C2" s="1203"/>
      <c r="D2" s="1203"/>
      <c r="E2" s="1203"/>
      <c r="F2" s="1203"/>
      <c r="G2" s="1203"/>
      <c r="H2" s="1203"/>
      <c r="I2" s="1203"/>
      <c r="J2" s="1203"/>
      <c r="K2" s="1203"/>
      <c r="L2" s="1203"/>
      <c r="M2" s="24"/>
      <c r="N2" s="24"/>
      <c r="O2" s="24"/>
      <c r="P2" s="25" t="s">
        <v>3</v>
      </c>
      <c r="Q2" s="24"/>
      <c r="R2" s="24"/>
      <c r="S2" s="24"/>
      <c r="T2" s="24"/>
    </row>
    <row r="3" spans="1:20" ht="19.5">
      <c r="A3" s="1310" t="s">
        <v>532</v>
      </c>
      <c r="B3" s="1310"/>
      <c r="C3" s="1310"/>
      <c r="D3" s="1310"/>
      <c r="E3" s="1310"/>
      <c r="F3" s="1310"/>
      <c r="G3" s="1310"/>
      <c r="H3" s="1310"/>
      <c r="I3" s="1310"/>
      <c r="J3" s="1310"/>
      <c r="K3" s="1310"/>
      <c r="L3" s="1310"/>
      <c r="M3" s="1310"/>
      <c r="N3" s="1310"/>
      <c r="O3" s="1310"/>
      <c r="P3" s="1310"/>
      <c r="Q3" s="1310"/>
      <c r="R3" s="1310"/>
      <c r="S3" s="1310"/>
      <c r="T3" s="1310"/>
    </row>
    <row r="4" spans="1:20" ht="43.5" customHeight="1">
      <c r="A4" s="1307" t="s">
        <v>605</v>
      </c>
      <c r="B4" s="1307"/>
      <c r="C4" s="1307"/>
      <c r="D4" s="1307"/>
      <c r="E4" s="1307"/>
      <c r="F4" s="1307"/>
      <c r="G4" s="1307"/>
      <c r="H4" s="1307"/>
      <c r="I4" s="1307"/>
      <c r="J4" s="1307"/>
      <c r="K4" s="1307"/>
      <c r="L4" s="1307"/>
      <c r="M4" s="1307"/>
      <c r="N4" s="1307"/>
      <c r="O4" s="1307"/>
      <c r="P4" s="1307"/>
      <c r="Q4" s="1307"/>
      <c r="R4" s="1307"/>
      <c r="S4" s="1307"/>
      <c r="T4" s="1307"/>
    </row>
    <row r="5" spans="1:20" ht="18.75">
      <c r="A5" s="1308" t="s">
        <v>6</v>
      </c>
      <c r="B5" s="1308"/>
      <c r="C5" s="1308"/>
      <c r="D5" s="1308"/>
      <c r="E5" s="1308"/>
      <c r="F5" s="1308"/>
      <c r="G5" s="1308"/>
      <c r="H5" s="1308"/>
      <c r="I5" s="1308"/>
      <c r="J5" s="1308"/>
      <c r="K5" s="1308"/>
      <c r="L5" s="1308"/>
      <c r="M5" s="1308"/>
      <c r="N5" s="1308"/>
      <c r="O5" s="1308"/>
      <c r="P5" s="1308"/>
      <c r="Q5" s="1308"/>
      <c r="R5" s="1308"/>
      <c r="S5" s="1308"/>
      <c r="T5" s="1308"/>
    </row>
    <row r="6" spans="1:20" ht="32.25" customHeight="1">
      <c r="A6" s="1302" t="s">
        <v>172</v>
      </c>
      <c r="B6" s="1302" t="s">
        <v>69</v>
      </c>
      <c r="C6" s="1304" t="s">
        <v>606</v>
      </c>
      <c r="D6" s="1302" t="s">
        <v>214</v>
      </c>
      <c r="E6" s="1302" t="s">
        <v>215</v>
      </c>
      <c r="F6" s="1302" t="s">
        <v>173</v>
      </c>
      <c r="G6" s="1302" t="s">
        <v>607</v>
      </c>
      <c r="H6" s="1302"/>
      <c r="I6" s="1302"/>
      <c r="J6" s="1302" t="s">
        <v>534</v>
      </c>
      <c r="K6" s="1302"/>
      <c r="L6" s="1302"/>
      <c r="M6" s="1302" t="s">
        <v>608</v>
      </c>
      <c r="N6" s="1302"/>
      <c r="O6" s="1302" t="s">
        <v>609</v>
      </c>
      <c r="P6" s="1302"/>
      <c r="Q6" s="1302"/>
      <c r="R6" s="1302"/>
      <c r="S6" s="1302"/>
      <c r="T6" s="1302" t="s">
        <v>11</v>
      </c>
    </row>
    <row r="7" spans="1:20" ht="32.25" customHeight="1">
      <c r="A7" s="1302"/>
      <c r="B7" s="1302"/>
      <c r="C7" s="1305"/>
      <c r="D7" s="1302"/>
      <c r="E7" s="1302"/>
      <c r="F7" s="1302"/>
      <c r="G7" s="1302"/>
      <c r="H7" s="1302"/>
      <c r="I7" s="1302"/>
      <c r="J7" s="1302"/>
      <c r="K7" s="1302"/>
      <c r="L7" s="1302"/>
      <c r="M7" s="1302"/>
      <c r="N7" s="1302"/>
      <c r="O7" s="1302" t="s">
        <v>17</v>
      </c>
      <c r="P7" s="1302" t="s">
        <v>610</v>
      </c>
      <c r="Q7" s="1302"/>
      <c r="R7" s="1302"/>
      <c r="S7" s="1302"/>
      <c r="T7" s="1302"/>
    </row>
    <row r="8" spans="1:20" ht="32.25" customHeight="1">
      <c r="A8" s="1302"/>
      <c r="B8" s="1302"/>
      <c r="C8" s="1305"/>
      <c r="D8" s="1302"/>
      <c r="E8" s="1302"/>
      <c r="F8" s="1302"/>
      <c r="G8" s="1302"/>
      <c r="H8" s="1302"/>
      <c r="I8" s="1302"/>
      <c r="J8" s="1302"/>
      <c r="K8" s="1302"/>
      <c r="L8" s="1302"/>
      <c r="M8" s="1302"/>
      <c r="N8" s="1302"/>
      <c r="O8" s="1302"/>
      <c r="P8" s="1302" t="s">
        <v>17</v>
      </c>
      <c r="Q8" s="1302" t="s">
        <v>75</v>
      </c>
      <c r="R8" s="1302"/>
      <c r="S8" s="1302"/>
      <c r="T8" s="1302"/>
    </row>
    <row r="9" spans="1:20" ht="36.75" customHeight="1">
      <c r="A9" s="1302"/>
      <c r="B9" s="1302"/>
      <c r="C9" s="1305"/>
      <c r="D9" s="1302"/>
      <c r="E9" s="1302"/>
      <c r="F9" s="1302"/>
      <c r="G9" s="1302" t="s">
        <v>545</v>
      </c>
      <c r="H9" s="1302" t="s">
        <v>73</v>
      </c>
      <c r="I9" s="1302" t="s">
        <v>611</v>
      </c>
      <c r="J9" s="1302" t="s">
        <v>545</v>
      </c>
      <c r="K9" s="1302" t="s">
        <v>73</v>
      </c>
      <c r="L9" s="1302" t="s">
        <v>612</v>
      </c>
      <c r="M9" s="1302" t="s">
        <v>17</v>
      </c>
      <c r="N9" s="1302" t="s">
        <v>611</v>
      </c>
      <c r="O9" s="1302"/>
      <c r="P9" s="1302"/>
      <c r="Q9" s="1302" t="s">
        <v>613</v>
      </c>
      <c r="R9" s="1302" t="s">
        <v>614</v>
      </c>
      <c r="S9" s="1302" t="s">
        <v>615</v>
      </c>
      <c r="T9" s="1302"/>
    </row>
    <row r="10" spans="1:20" ht="14.45" customHeight="1">
      <c r="A10" s="1302"/>
      <c r="B10" s="1302"/>
      <c r="C10" s="1305"/>
      <c r="D10" s="1302"/>
      <c r="E10" s="1302"/>
      <c r="F10" s="1302"/>
      <c r="G10" s="1302"/>
      <c r="H10" s="1302"/>
      <c r="I10" s="1302"/>
      <c r="J10" s="1302"/>
      <c r="K10" s="1302"/>
      <c r="L10" s="1302"/>
      <c r="M10" s="1302"/>
      <c r="N10" s="1302"/>
      <c r="O10" s="1302"/>
      <c r="P10" s="1302"/>
      <c r="Q10" s="1302"/>
      <c r="R10" s="1302"/>
      <c r="S10" s="1302"/>
      <c r="T10" s="1302"/>
    </row>
    <row r="11" spans="1:20" ht="14.45" customHeight="1">
      <c r="A11" s="1302"/>
      <c r="B11" s="1302"/>
      <c r="C11" s="1305"/>
      <c r="D11" s="1302"/>
      <c r="E11" s="1302"/>
      <c r="F11" s="1302"/>
      <c r="G11" s="1302"/>
      <c r="H11" s="1302"/>
      <c r="I11" s="1302"/>
      <c r="J11" s="1302"/>
      <c r="K11" s="1302"/>
      <c r="L11" s="1302"/>
      <c r="M11" s="1302"/>
      <c r="N11" s="1302"/>
      <c r="O11" s="1302"/>
      <c r="P11" s="1302"/>
      <c r="Q11" s="1302"/>
      <c r="R11" s="1302"/>
      <c r="S11" s="1302"/>
      <c r="T11" s="1302"/>
    </row>
    <row r="12" spans="1:20" ht="17.25" customHeight="1">
      <c r="A12" s="1302"/>
      <c r="B12" s="1302"/>
      <c r="C12" s="1306"/>
      <c r="D12" s="1302"/>
      <c r="E12" s="1302"/>
      <c r="F12" s="1302"/>
      <c r="G12" s="1302"/>
      <c r="H12" s="1302"/>
      <c r="I12" s="1302"/>
      <c r="J12" s="1302"/>
      <c r="K12" s="1302"/>
      <c r="L12" s="1302"/>
      <c r="M12" s="1302"/>
      <c r="N12" s="1302"/>
      <c r="O12" s="1302"/>
      <c r="P12" s="1302"/>
      <c r="Q12" s="1302"/>
      <c r="R12" s="1302"/>
      <c r="S12" s="1302"/>
      <c r="T12" s="1302"/>
    </row>
    <row r="13" spans="1:20" ht="22.5" customHeight="1">
      <c r="A13" s="4">
        <v>1</v>
      </c>
      <c r="B13" s="4">
        <v>2</v>
      </c>
      <c r="C13" s="4">
        <v>3</v>
      </c>
      <c r="D13" s="4">
        <v>3</v>
      </c>
      <c r="E13" s="4">
        <v>4</v>
      </c>
      <c r="F13" s="4">
        <v>5</v>
      </c>
      <c r="G13" s="4">
        <v>4</v>
      </c>
      <c r="H13" s="4">
        <v>5</v>
      </c>
      <c r="I13" s="4">
        <v>6</v>
      </c>
      <c r="J13" s="4">
        <v>9</v>
      </c>
      <c r="K13" s="4">
        <v>10</v>
      </c>
      <c r="L13" s="4">
        <v>11</v>
      </c>
      <c r="M13" s="4">
        <v>7</v>
      </c>
      <c r="N13" s="4">
        <v>8</v>
      </c>
      <c r="O13" s="4">
        <v>7</v>
      </c>
      <c r="P13" s="4">
        <v>8</v>
      </c>
      <c r="Q13" s="4">
        <v>9</v>
      </c>
      <c r="R13" s="4">
        <v>10</v>
      </c>
      <c r="S13" s="4">
        <v>11</v>
      </c>
      <c r="T13" s="4">
        <v>12</v>
      </c>
    </row>
    <row r="14" spans="1:20" ht="15.75">
      <c r="A14" s="5"/>
      <c r="B14" s="6" t="s">
        <v>27</v>
      </c>
      <c r="C14" s="6"/>
      <c r="D14" s="7"/>
      <c r="E14" s="7"/>
      <c r="F14" s="7"/>
      <c r="G14" s="8"/>
      <c r="H14" s="8"/>
      <c r="I14" s="8"/>
      <c r="J14" s="8"/>
      <c r="K14" s="8"/>
      <c r="L14" s="8"/>
      <c r="M14" s="8"/>
      <c r="N14" s="8"/>
      <c r="O14" s="8"/>
      <c r="P14" s="8"/>
      <c r="Q14" s="8"/>
      <c r="R14" s="8"/>
      <c r="S14" s="8"/>
      <c r="T14" s="8"/>
    </row>
    <row r="15" spans="1:20" s="3" customFormat="1" ht="33" customHeight="1">
      <c r="A15" s="9" t="s">
        <v>86</v>
      </c>
      <c r="B15" s="10" t="s">
        <v>616</v>
      </c>
      <c r="C15" s="10"/>
      <c r="D15" s="6"/>
      <c r="E15" s="6"/>
      <c r="F15" s="6"/>
      <c r="G15" s="11"/>
      <c r="H15" s="11"/>
      <c r="I15" s="11"/>
      <c r="J15" s="11"/>
      <c r="K15" s="11"/>
      <c r="L15" s="11"/>
      <c r="M15" s="11"/>
      <c r="N15" s="11"/>
      <c r="O15" s="11"/>
      <c r="P15" s="11"/>
      <c r="Q15" s="11"/>
      <c r="R15" s="11"/>
      <c r="S15" s="11"/>
      <c r="T15" s="11"/>
    </row>
    <row r="16" spans="1:20" ht="55.9" customHeight="1">
      <c r="A16" s="9" t="s">
        <v>95</v>
      </c>
      <c r="B16" s="12" t="s">
        <v>617</v>
      </c>
      <c r="C16" s="12"/>
      <c r="D16" s="6"/>
      <c r="E16" s="6"/>
      <c r="F16" s="6"/>
      <c r="G16" s="11"/>
      <c r="H16" s="11"/>
      <c r="I16" s="11"/>
      <c r="J16" s="11"/>
      <c r="K16" s="11"/>
      <c r="L16" s="11"/>
      <c r="M16" s="11"/>
      <c r="N16" s="11"/>
      <c r="O16" s="11"/>
      <c r="P16" s="11"/>
      <c r="Q16" s="11"/>
      <c r="R16" s="11"/>
      <c r="S16" s="11"/>
      <c r="T16" s="11"/>
    </row>
    <row r="17" spans="1:20" ht="33" customHeight="1">
      <c r="A17" s="13" t="s">
        <v>618</v>
      </c>
      <c r="B17" s="14" t="s">
        <v>87</v>
      </c>
      <c r="C17" s="14"/>
      <c r="D17" s="6"/>
      <c r="E17" s="6"/>
      <c r="F17" s="6"/>
      <c r="G17" s="11"/>
      <c r="H17" s="11"/>
      <c r="I17" s="11"/>
      <c r="J17" s="11"/>
      <c r="K17" s="11"/>
      <c r="L17" s="11"/>
      <c r="M17" s="11"/>
      <c r="N17" s="11"/>
      <c r="O17" s="11"/>
      <c r="P17" s="11"/>
      <c r="Q17" s="11"/>
      <c r="R17" s="11"/>
      <c r="S17" s="11"/>
      <c r="T17" s="11"/>
    </row>
    <row r="18" spans="1:20" ht="33" customHeight="1">
      <c r="A18" s="15" t="s">
        <v>28</v>
      </c>
      <c r="B18" s="16" t="s">
        <v>619</v>
      </c>
      <c r="C18" s="16"/>
      <c r="D18" s="6"/>
      <c r="E18" s="6"/>
      <c r="F18" s="6"/>
      <c r="G18" s="11"/>
      <c r="H18" s="11"/>
      <c r="I18" s="11"/>
      <c r="J18" s="11"/>
      <c r="K18" s="11"/>
      <c r="L18" s="11"/>
      <c r="M18" s="11"/>
      <c r="N18" s="11"/>
      <c r="O18" s="11"/>
      <c r="P18" s="11"/>
      <c r="Q18" s="11"/>
      <c r="R18" s="11"/>
      <c r="S18" s="11"/>
      <c r="T18" s="11"/>
    </row>
    <row r="19" spans="1:20" ht="33" customHeight="1">
      <c r="A19" s="15" t="s">
        <v>192</v>
      </c>
      <c r="B19" s="16" t="s">
        <v>620</v>
      </c>
      <c r="C19" s="16"/>
      <c r="D19" s="6"/>
      <c r="E19" s="6"/>
      <c r="F19" s="6"/>
      <c r="G19" s="11"/>
      <c r="H19" s="11"/>
      <c r="I19" s="11"/>
      <c r="J19" s="11"/>
      <c r="K19" s="11"/>
      <c r="L19" s="11"/>
      <c r="M19" s="11"/>
      <c r="N19" s="11"/>
      <c r="O19" s="11"/>
      <c r="P19" s="11"/>
      <c r="Q19" s="11"/>
      <c r="R19" s="11"/>
      <c r="S19" s="11"/>
      <c r="T19" s="11"/>
    </row>
    <row r="20" spans="1:20" ht="31.5" customHeight="1">
      <c r="A20" s="15" t="s">
        <v>621</v>
      </c>
      <c r="B20" s="17" t="s">
        <v>96</v>
      </c>
      <c r="C20" s="17"/>
      <c r="D20" s="6"/>
      <c r="E20" s="6"/>
      <c r="F20" s="6"/>
      <c r="G20" s="11"/>
      <c r="H20" s="11"/>
      <c r="I20" s="11"/>
      <c r="J20" s="11"/>
      <c r="K20" s="11"/>
      <c r="L20" s="11"/>
      <c r="M20" s="11"/>
      <c r="N20" s="11"/>
      <c r="O20" s="11"/>
      <c r="P20" s="11"/>
      <c r="Q20" s="11"/>
      <c r="R20" s="11"/>
      <c r="S20" s="11"/>
      <c r="T20" s="11"/>
    </row>
    <row r="21" spans="1:20" ht="30" customHeight="1">
      <c r="A21" s="18" t="s">
        <v>28</v>
      </c>
      <c r="B21" s="19" t="s">
        <v>191</v>
      </c>
      <c r="C21" s="19"/>
      <c r="D21" s="6"/>
      <c r="E21" s="6"/>
      <c r="F21" s="6"/>
      <c r="G21" s="11"/>
      <c r="H21" s="11"/>
      <c r="I21" s="11"/>
      <c r="J21" s="11"/>
      <c r="K21" s="11"/>
      <c r="L21" s="11"/>
      <c r="M21" s="11"/>
      <c r="N21" s="11"/>
      <c r="O21" s="11"/>
      <c r="P21" s="11"/>
      <c r="Q21" s="11"/>
      <c r="R21" s="11"/>
      <c r="S21" s="11"/>
      <c r="T21" s="11"/>
    </row>
    <row r="22" spans="1:20" ht="27.75" customHeight="1">
      <c r="A22" s="18" t="s">
        <v>192</v>
      </c>
      <c r="B22" s="198" t="s">
        <v>193</v>
      </c>
      <c r="C22" s="19"/>
      <c r="D22" s="6"/>
      <c r="E22" s="6"/>
      <c r="F22" s="6"/>
      <c r="G22" s="11"/>
      <c r="H22" s="11"/>
      <c r="I22" s="11"/>
      <c r="J22" s="11"/>
      <c r="K22" s="11"/>
      <c r="L22" s="11"/>
      <c r="M22" s="11"/>
      <c r="N22" s="11"/>
      <c r="O22" s="11"/>
      <c r="P22" s="11"/>
      <c r="Q22" s="11"/>
      <c r="R22" s="11"/>
      <c r="S22" s="11"/>
      <c r="T22" s="11"/>
    </row>
    <row r="23" spans="1:20" ht="63" customHeight="1">
      <c r="A23" s="9" t="s">
        <v>109</v>
      </c>
      <c r="B23" s="12" t="s">
        <v>617</v>
      </c>
      <c r="C23" s="12"/>
      <c r="D23" s="6"/>
      <c r="E23" s="6"/>
      <c r="F23" s="6"/>
      <c r="G23" s="11"/>
      <c r="H23" s="11"/>
      <c r="I23" s="11"/>
      <c r="J23" s="11"/>
      <c r="K23" s="11"/>
      <c r="L23" s="11"/>
      <c r="M23" s="11"/>
      <c r="N23" s="11"/>
      <c r="O23" s="11"/>
      <c r="P23" s="11"/>
      <c r="Q23" s="11"/>
      <c r="R23" s="11"/>
      <c r="S23" s="11"/>
      <c r="T23" s="11"/>
    </row>
    <row r="24" spans="1:20" ht="33" customHeight="1">
      <c r="A24" s="18"/>
      <c r="B24" s="20" t="s">
        <v>206</v>
      </c>
      <c r="C24" s="20"/>
      <c r="D24" s="6"/>
      <c r="E24" s="6"/>
      <c r="F24" s="6"/>
      <c r="G24" s="11"/>
      <c r="H24" s="11"/>
      <c r="I24" s="11"/>
      <c r="J24" s="11"/>
      <c r="K24" s="11"/>
      <c r="L24" s="11"/>
      <c r="M24" s="11"/>
      <c r="N24" s="11"/>
      <c r="O24" s="11"/>
      <c r="P24" s="11"/>
      <c r="Q24" s="11"/>
      <c r="R24" s="11"/>
      <c r="S24" s="11"/>
      <c r="T24" s="11"/>
    </row>
    <row r="25" spans="1:20" s="3" customFormat="1" ht="35.25" customHeight="1">
      <c r="A25" s="9" t="s">
        <v>88</v>
      </c>
      <c r="B25" s="10" t="s">
        <v>616</v>
      </c>
      <c r="C25" s="10"/>
      <c r="D25" s="6"/>
      <c r="E25" s="6"/>
      <c r="F25" s="6"/>
      <c r="G25" s="11"/>
      <c r="H25" s="11"/>
      <c r="I25" s="11"/>
      <c r="J25" s="11"/>
      <c r="K25" s="11"/>
      <c r="L25" s="11"/>
      <c r="M25" s="11"/>
      <c r="N25" s="11"/>
      <c r="O25" s="11"/>
      <c r="P25" s="11"/>
      <c r="Q25" s="11"/>
      <c r="R25" s="11"/>
      <c r="S25" s="11"/>
      <c r="T25" s="11"/>
    </row>
    <row r="26" spans="1:20" ht="18.75">
      <c r="A26" s="18"/>
      <c r="B26" s="20" t="s">
        <v>622</v>
      </c>
      <c r="C26" s="20"/>
      <c r="D26" s="6"/>
      <c r="E26" s="6"/>
      <c r="F26" s="6"/>
      <c r="G26" s="11"/>
      <c r="H26" s="11"/>
      <c r="I26" s="11"/>
      <c r="J26" s="11"/>
      <c r="K26" s="11"/>
      <c r="L26" s="11"/>
      <c r="M26" s="11"/>
      <c r="N26" s="11"/>
      <c r="O26" s="11"/>
      <c r="P26" s="11"/>
      <c r="Q26" s="11"/>
      <c r="R26" s="11"/>
      <c r="S26" s="11"/>
      <c r="T26" s="11"/>
    </row>
    <row r="27" spans="1:20" ht="20.25" customHeight="1">
      <c r="A27" s="18" t="s">
        <v>192</v>
      </c>
      <c r="B27" s="198" t="s">
        <v>193</v>
      </c>
      <c r="C27" s="19"/>
      <c r="D27" s="6"/>
      <c r="E27" s="6"/>
      <c r="F27" s="6"/>
      <c r="G27" s="11"/>
      <c r="H27" s="11"/>
      <c r="I27" s="11"/>
      <c r="J27" s="11"/>
      <c r="K27" s="11"/>
      <c r="L27" s="11"/>
      <c r="M27" s="11"/>
      <c r="N27" s="11"/>
      <c r="O27" s="11"/>
      <c r="P27" s="11"/>
      <c r="Q27" s="11"/>
      <c r="R27" s="11"/>
      <c r="S27" s="11"/>
      <c r="T27" s="11"/>
    </row>
    <row r="29" spans="1:20" ht="19.5" customHeight="1">
      <c r="B29" s="21" t="s">
        <v>208</v>
      </c>
    </row>
    <row r="30" spans="1:20" ht="19.5" customHeight="1">
      <c r="B30" s="199" t="s">
        <v>623</v>
      </c>
    </row>
    <row r="31" spans="1:20" ht="15.75">
      <c r="B31" s="21" t="s">
        <v>624</v>
      </c>
    </row>
  </sheetData>
  <mergeCells count="31">
    <mergeCell ref="A1:L1"/>
    <mergeCell ref="A2:L2"/>
    <mergeCell ref="A3:T3"/>
    <mergeCell ref="A4:T4"/>
    <mergeCell ref="A5:T5"/>
    <mergeCell ref="F6:F12"/>
    <mergeCell ref="G9:G12"/>
    <mergeCell ref="H9:H12"/>
    <mergeCell ref="I9:I12"/>
    <mergeCell ref="J9:J12"/>
    <mergeCell ref="A6:A12"/>
    <mergeCell ref="B6:B12"/>
    <mergeCell ref="C6:C12"/>
    <mergeCell ref="D6:D12"/>
    <mergeCell ref="E6:E12"/>
    <mergeCell ref="S9:S12"/>
    <mergeCell ref="T6:T12"/>
    <mergeCell ref="G6:I8"/>
    <mergeCell ref="J6:L8"/>
    <mergeCell ref="M6:N8"/>
    <mergeCell ref="N9:N12"/>
    <mergeCell ref="O7:O12"/>
    <mergeCell ref="P8:P12"/>
    <mergeCell ref="Q9:Q12"/>
    <mergeCell ref="R9:R12"/>
    <mergeCell ref="O6:S6"/>
    <mergeCell ref="P7:S7"/>
    <mergeCell ref="Q8:S8"/>
    <mergeCell ref="K9:K12"/>
    <mergeCell ref="L9:L12"/>
    <mergeCell ref="M9:M12"/>
  </mergeCells>
  <printOptions horizontalCentered="1"/>
  <pageMargins left="0.23622047244094499" right="0.23622047244094499" top="0.74803149606299202" bottom="0.74803149606299202" header="0.31496062992126" footer="0.31496062992126"/>
  <pageSetup paperSize="9" scale="78" fitToHeight="0" pageOrder="overThenDown" orientation="landscape"/>
  <headerFooter>
    <oddFooter>&amp;R&amp;14&amp;P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301"/>
  <sheetViews>
    <sheetView zoomScale="50" zoomScaleNormal="50" zoomScalePageLayoutView="77" workbookViewId="0">
      <selection activeCell="A3" sqref="A3:R3"/>
    </sheetView>
  </sheetViews>
  <sheetFormatPr defaultColWidth="9.140625" defaultRowHeight="20.25"/>
  <cols>
    <col min="1" max="1" width="7.85546875" style="843" customWidth="1"/>
    <col min="2" max="2" width="64" style="284" customWidth="1"/>
    <col min="3" max="3" width="13.5703125" style="284" customWidth="1"/>
    <col min="4" max="4" width="19.5703125" style="284" customWidth="1"/>
    <col min="5" max="5" width="21.5703125" style="284" customWidth="1"/>
    <col min="6" max="6" width="18.5703125" style="843" customWidth="1"/>
    <col min="7" max="7" width="26.7109375" style="843" customWidth="1"/>
    <col min="8" max="8" width="15.42578125" style="843" customWidth="1"/>
    <col min="9" max="9" width="33.28515625" style="843" customWidth="1"/>
    <col min="10" max="10" width="15.140625" style="335" customWidth="1"/>
    <col min="11" max="11" width="15.7109375" style="335" customWidth="1"/>
    <col min="12" max="12" width="15.28515625" style="318" customWidth="1"/>
    <col min="13" max="13" width="26.7109375" style="318" customWidth="1"/>
    <col min="14" max="15" width="17.28515625" style="318" customWidth="1"/>
    <col min="16" max="17" width="13.7109375" style="401" customWidth="1"/>
    <col min="18" max="18" width="36.28515625" style="843" customWidth="1"/>
    <col min="19" max="16384" width="9.140625" style="284"/>
  </cols>
  <sheetData>
    <row r="1" spans="1:19" s="391" customFormat="1" ht="35.25" customHeight="1">
      <c r="A1" s="1346" t="s">
        <v>2137</v>
      </c>
      <c r="B1" s="1346"/>
      <c r="C1" s="1346"/>
      <c r="D1" s="1346"/>
      <c r="E1" s="1346"/>
      <c r="F1" s="1346"/>
      <c r="G1" s="1346"/>
      <c r="H1" s="1346"/>
      <c r="I1" s="1346"/>
      <c r="J1" s="1346"/>
      <c r="K1" s="1346"/>
      <c r="L1" s="1346"/>
      <c r="M1" s="1346"/>
      <c r="N1" s="1346"/>
      <c r="O1" s="1346"/>
      <c r="P1" s="1346"/>
      <c r="Q1" s="1346"/>
      <c r="R1" s="1346"/>
    </row>
    <row r="2" spans="1:19" s="391" customFormat="1" ht="57.75" customHeight="1">
      <c r="A2" s="1346" t="s">
        <v>2380</v>
      </c>
      <c r="B2" s="1346"/>
      <c r="C2" s="1346"/>
      <c r="D2" s="1346"/>
      <c r="E2" s="1346"/>
      <c r="F2" s="1346"/>
      <c r="G2" s="1346"/>
      <c r="H2" s="1346"/>
      <c r="I2" s="1346"/>
      <c r="J2" s="1346"/>
      <c r="K2" s="1346"/>
      <c r="L2" s="1346"/>
      <c r="M2" s="1346"/>
      <c r="N2" s="1346"/>
      <c r="O2" s="1346"/>
      <c r="P2" s="1346"/>
      <c r="Q2" s="1346"/>
      <c r="R2" s="1346"/>
    </row>
    <row r="3" spans="1:19" s="391" customFormat="1" ht="36.75" customHeight="1">
      <c r="A3" s="1347" t="s">
        <v>2964</v>
      </c>
      <c r="B3" s="1347"/>
      <c r="C3" s="1347"/>
      <c r="D3" s="1347"/>
      <c r="E3" s="1347"/>
      <c r="F3" s="1347"/>
      <c r="G3" s="1347"/>
      <c r="H3" s="1347"/>
      <c r="I3" s="1347"/>
      <c r="J3" s="1347"/>
      <c r="K3" s="1347"/>
      <c r="L3" s="1347"/>
      <c r="M3" s="1347"/>
      <c r="N3" s="1347"/>
      <c r="O3" s="1347"/>
      <c r="P3" s="1347"/>
      <c r="Q3" s="1347"/>
      <c r="R3" s="1347"/>
    </row>
    <row r="4" spans="1:19" ht="41.25" customHeight="1">
      <c r="A4" s="285"/>
      <c r="B4" s="286"/>
      <c r="C4" s="286"/>
      <c r="D4" s="286"/>
      <c r="E4" s="286"/>
      <c r="F4" s="840"/>
      <c r="G4" s="840"/>
      <c r="H4" s="840"/>
      <c r="I4" s="287"/>
      <c r="J4" s="288"/>
      <c r="K4" s="1348" t="s">
        <v>959</v>
      </c>
      <c r="L4" s="1348"/>
      <c r="M4" s="1348"/>
      <c r="N4" s="1348"/>
      <c r="O4" s="1348"/>
      <c r="P4" s="1348"/>
      <c r="Q4" s="1348"/>
      <c r="R4" s="1348"/>
    </row>
    <row r="5" spans="1:19" s="289" customFormat="1" ht="37.5" customHeight="1">
      <c r="A5" s="1280" t="s">
        <v>7</v>
      </c>
      <c r="B5" s="1280" t="s">
        <v>1229</v>
      </c>
      <c r="C5" s="1280" t="s">
        <v>626</v>
      </c>
      <c r="D5" s="1280" t="s">
        <v>606</v>
      </c>
      <c r="E5" s="1280" t="s">
        <v>1230</v>
      </c>
      <c r="F5" s="1280" t="s">
        <v>1231</v>
      </c>
      <c r="G5" s="1280" t="s">
        <v>1232</v>
      </c>
      <c r="H5" s="1280" t="s">
        <v>1233</v>
      </c>
      <c r="I5" s="1345" t="s">
        <v>174</v>
      </c>
      <c r="J5" s="1345"/>
      <c r="K5" s="1345"/>
      <c r="L5" s="1345" t="s">
        <v>1897</v>
      </c>
      <c r="M5" s="1345"/>
      <c r="N5" s="1345" t="s">
        <v>2236</v>
      </c>
      <c r="O5" s="1349" t="s">
        <v>1847</v>
      </c>
      <c r="P5" s="1350"/>
      <c r="Q5" s="1351"/>
      <c r="R5" s="1280" t="s">
        <v>2237</v>
      </c>
    </row>
    <row r="6" spans="1:19" s="289" customFormat="1" ht="51" customHeight="1">
      <c r="A6" s="1280"/>
      <c r="B6" s="1280"/>
      <c r="C6" s="1280"/>
      <c r="D6" s="1280"/>
      <c r="E6" s="1280"/>
      <c r="F6" s="1280"/>
      <c r="G6" s="1280"/>
      <c r="H6" s="1280"/>
      <c r="I6" s="1357" t="s">
        <v>1234</v>
      </c>
      <c r="J6" s="1342" t="s">
        <v>1235</v>
      </c>
      <c r="K6" s="1342" t="s">
        <v>503</v>
      </c>
      <c r="L6" s="1345"/>
      <c r="M6" s="1345"/>
      <c r="N6" s="1345"/>
      <c r="O6" s="1352"/>
      <c r="P6" s="1353"/>
      <c r="Q6" s="1354"/>
      <c r="R6" s="1280"/>
    </row>
    <row r="7" spans="1:19" s="289" customFormat="1" ht="30" customHeight="1">
      <c r="A7" s="1280"/>
      <c r="B7" s="1280"/>
      <c r="C7" s="1280"/>
      <c r="D7" s="1280"/>
      <c r="E7" s="1280"/>
      <c r="F7" s="1280"/>
      <c r="G7" s="1280"/>
      <c r="H7" s="1280"/>
      <c r="I7" s="1358"/>
      <c r="J7" s="1343"/>
      <c r="K7" s="1344"/>
      <c r="L7" s="1345" t="s">
        <v>1898</v>
      </c>
      <c r="M7" s="1345" t="s">
        <v>2238</v>
      </c>
      <c r="N7" s="1345"/>
      <c r="O7" s="1345" t="s">
        <v>2239</v>
      </c>
      <c r="P7" s="1355" t="s">
        <v>75</v>
      </c>
      <c r="Q7" s="1356"/>
      <c r="R7" s="1280"/>
    </row>
    <row r="8" spans="1:19" s="289" customFormat="1" ht="185.25" customHeight="1">
      <c r="A8" s="1280"/>
      <c r="B8" s="1280"/>
      <c r="C8" s="1280"/>
      <c r="D8" s="1280"/>
      <c r="E8" s="1280"/>
      <c r="F8" s="1280"/>
      <c r="G8" s="1280"/>
      <c r="H8" s="1280"/>
      <c r="I8" s="1359"/>
      <c r="J8" s="1344"/>
      <c r="K8" s="842" t="s">
        <v>1899</v>
      </c>
      <c r="L8" s="1345"/>
      <c r="M8" s="1345"/>
      <c r="N8" s="1345"/>
      <c r="O8" s="1345"/>
      <c r="P8" s="847" t="s">
        <v>1146</v>
      </c>
      <c r="Q8" s="844" t="s">
        <v>1147</v>
      </c>
      <c r="R8" s="1280"/>
    </row>
    <row r="9" spans="1:19" s="289" customFormat="1" ht="27" customHeight="1">
      <c r="A9" s="390">
        <v>1</v>
      </c>
      <c r="B9" s="390">
        <v>2</v>
      </c>
      <c r="C9" s="390">
        <v>3</v>
      </c>
      <c r="D9" s="390">
        <v>4</v>
      </c>
      <c r="E9" s="390">
        <v>4</v>
      </c>
      <c r="F9" s="390">
        <v>5</v>
      </c>
      <c r="G9" s="390">
        <v>6</v>
      </c>
      <c r="H9" s="390">
        <v>7</v>
      </c>
      <c r="I9" s="390">
        <v>8</v>
      </c>
      <c r="J9" s="390">
        <v>9</v>
      </c>
      <c r="K9" s="390">
        <v>10</v>
      </c>
      <c r="L9" s="390">
        <v>12</v>
      </c>
      <c r="M9" s="390">
        <v>15</v>
      </c>
      <c r="N9" s="390">
        <v>16</v>
      </c>
      <c r="O9" s="390">
        <v>17</v>
      </c>
      <c r="P9" s="390">
        <v>18</v>
      </c>
      <c r="Q9" s="390">
        <v>19</v>
      </c>
      <c r="R9" s="390">
        <v>20</v>
      </c>
    </row>
    <row r="10" spans="1:19" s="361" customFormat="1" ht="56.25" customHeight="1">
      <c r="A10" s="433"/>
      <c r="B10" s="433" t="s">
        <v>980</v>
      </c>
      <c r="C10" s="433"/>
      <c r="D10" s="433"/>
      <c r="E10" s="433"/>
      <c r="F10" s="433"/>
      <c r="G10" s="433"/>
      <c r="H10" s="433"/>
      <c r="I10" s="434"/>
      <c r="J10" s="435">
        <f t="shared" ref="J10:L10" si="0">J11+J21+J59+J107+J144+J205+J238+J268+J297</f>
        <v>2845025.9</v>
      </c>
      <c r="K10" s="435">
        <f t="shared" si="0"/>
        <v>2555938.56</v>
      </c>
      <c r="L10" s="435">
        <f t="shared" si="0"/>
        <v>1028053</v>
      </c>
      <c r="M10" s="435">
        <f>M11+M21+M59+M107+M144+M205+M238+M268+M297</f>
        <v>1000000</v>
      </c>
      <c r="N10" s="435">
        <f t="shared" ref="N10:Q10" si="1">N11+N21+N59+N107+N144+N205+N238+N268+N297</f>
        <v>801588</v>
      </c>
      <c r="O10" s="435">
        <f t="shared" si="1"/>
        <v>1000000</v>
      </c>
      <c r="P10" s="435">
        <f t="shared" si="1"/>
        <v>16351</v>
      </c>
      <c r="Q10" s="435">
        <f t="shared" si="1"/>
        <v>16351</v>
      </c>
      <c r="R10" s="433"/>
    </row>
    <row r="11" spans="1:19" s="865" customFormat="1" ht="48" customHeight="1">
      <c r="A11" s="839" t="s">
        <v>95</v>
      </c>
      <c r="B11" s="292" t="s">
        <v>1236</v>
      </c>
      <c r="C11" s="839"/>
      <c r="D11" s="839"/>
      <c r="E11" s="839"/>
      <c r="F11" s="839"/>
      <c r="G11" s="839"/>
      <c r="H11" s="839"/>
      <c r="I11" s="290"/>
      <c r="J11" s="291">
        <f>J12</f>
        <v>15153</v>
      </c>
      <c r="K11" s="291">
        <f t="shared" ref="K11:Q11" si="2">K12</f>
        <v>8713.9</v>
      </c>
      <c r="L11" s="291">
        <f t="shared" si="2"/>
        <v>8414</v>
      </c>
      <c r="M11" s="291">
        <f t="shared" si="2"/>
        <v>7920</v>
      </c>
      <c r="N11" s="291">
        <f t="shared" si="2"/>
        <v>7005</v>
      </c>
      <c r="O11" s="291">
        <f t="shared" si="2"/>
        <v>7920</v>
      </c>
      <c r="P11" s="291">
        <f t="shared" si="2"/>
        <v>915</v>
      </c>
      <c r="Q11" s="291">
        <f t="shared" si="2"/>
        <v>915</v>
      </c>
      <c r="R11" s="293">
        <f>Q11-P11</f>
        <v>0</v>
      </c>
      <c r="S11" s="289"/>
    </row>
    <row r="12" spans="1:19" s="865" customFormat="1" ht="60.6" customHeight="1">
      <c r="A12" s="839" t="s">
        <v>279</v>
      </c>
      <c r="B12" s="294" t="s">
        <v>685</v>
      </c>
      <c r="C12" s="839"/>
      <c r="D12" s="839"/>
      <c r="E12" s="839"/>
      <c r="F12" s="839"/>
      <c r="G12" s="839"/>
      <c r="H12" s="839"/>
      <c r="I12" s="290"/>
      <c r="J12" s="378">
        <f t="shared" ref="J12:Q12" si="3">SUM(J13:J20)</f>
        <v>15153</v>
      </c>
      <c r="K12" s="378">
        <f t="shared" si="3"/>
        <v>8713.9</v>
      </c>
      <c r="L12" s="378">
        <f t="shared" si="3"/>
        <v>8414</v>
      </c>
      <c r="M12" s="378">
        <f t="shared" si="3"/>
        <v>7920</v>
      </c>
      <c r="N12" s="378">
        <f t="shared" si="3"/>
        <v>7005</v>
      </c>
      <c r="O12" s="378">
        <f t="shared" si="3"/>
        <v>7920</v>
      </c>
      <c r="P12" s="378">
        <f t="shared" si="3"/>
        <v>915</v>
      </c>
      <c r="Q12" s="378">
        <f t="shared" si="3"/>
        <v>915</v>
      </c>
      <c r="R12" s="293"/>
      <c r="S12" s="289"/>
    </row>
    <row r="13" spans="1:19" s="866" customFormat="1" ht="61.5" customHeight="1">
      <c r="A13" s="279">
        <v>1</v>
      </c>
      <c r="B13" s="295" t="s">
        <v>1237</v>
      </c>
      <c r="C13" s="296" t="s">
        <v>89</v>
      </c>
      <c r="D13" s="279">
        <v>7903549</v>
      </c>
      <c r="E13" s="297" t="s">
        <v>1238</v>
      </c>
      <c r="F13" s="279" t="s">
        <v>1239</v>
      </c>
      <c r="G13" s="296" t="s">
        <v>1240</v>
      </c>
      <c r="H13" s="297" t="s">
        <v>637</v>
      </c>
      <c r="I13" s="298" t="s">
        <v>1941</v>
      </c>
      <c r="J13" s="299">
        <v>1975</v>
      </c>
      <c r="K13" s="299">
        <f>J13*0.7</f>
        <v>1382.5</v>
      </c>
      <c r="L13" s="300">
        <v>1383</v>
      </c>
      <c r="M13" s="300">
        <v>1383</v>
      </c>
      <c r="N13" s="300">
        <v>1383</v>
      </c>
      <c r="O13" s="300">
        <v>1383</v>
      </c>
      <c r="P13" s="392"/>
      <c r="Q13" s="392"/>
      <c r="R13" s="203"/>
      <c r="S13" s="284"/>
    </row>
    <row r="14" spans="1:19" s="866" customFormat="1" ht="69" customHeight="1">
      <c r="A14" s="279">
        <v>2</v>
      </c>
      <c r="B14" s="295" t="s">
        <v>1241</v>
      </c>
      <c r="C14" s="296" t="s">
        <v>89</v>
      </c>
      <c r="D14" s="314" t="s">
        <v>2240</v>
      </c>
      <c r="E14" s="297" t="s">
        <v>1238</v>
      </c>
      <c r="F14" s="301" t="s">
        <v>1239</v>
      </c>
      <c r="G14" s="296" t="s">
        <v>1242</v>
      </c>
      <c r="H14" s="297" t="s">
        <v>637</v>
      </c>
      <c r="I14" s="298" t="s">
        <v>1974</v>
      </c>
      <c r="J14" s="299">
        <v>668</v>
      </c>
      <c r="K14" s="299">
        <f>J14*0.3</f>
        <v>200.4</v>
      </c>
      <c r="L14" s="300">
        <v>200</v>
      </c>
      <c r="M14" s="300">
        <v>200</v>
      </c>
      <c r="N14" s="300">
        <v>200</v>
      </c>
      <c r="O14" s="300">
        <v>200</v>
      </c>
      <c r="P14" s="392"/>
      <c r="Q14" s="392"/>
      <c r="R14" s="203"/>
      <c r="S14" s="284"/>
    </row>
    <row r="15" spans="1:19" s="866" customFormat="1" ht="61.5" customHeight="1">
      <c r="A15" s="279">
        <v>3</v>
      </c>
      <c r="B15" s="295" t="s">
        <v>1243</v>
      </c>
      <c r="C15" s="296" t="s">
        <v>89</v>
      </c>
      <c r="D15" s="314" t="s">
        <v>2241</v>
      </c>
      <c r="E15" s="297" t="s">
        <v>1238</v>
      </c>
      <c r="F15" s="301" t="s">
        <v>1239</v>
      </c>
      <c r="G15" s="296" t="s">
        <v>1242</v>
      </c>
      <c r="H15" s="297" t="s">
        <v>637</v>
      </c>
      <c r="I15" s="298" t="s">
        <v>1975</v>
      </c>
      <c r="J15" s="299">
        <v>1000</v>
      </c>
      <c r="K15" s="299">
        <f>J15*0.3</f>
        <v>300</v>
      </c>
      <c r="L15" s="300">
        <v>300</v>
      </c>
      <c r="M15" s="300">
        <v>300</v>
      </c>
      <c r="N15" s="300">
        <v>300</v>
      </c>
      <c r="O15" s="300">
        <v>300</v>
      </c>
      <c r="P15" s="392"/>
      <c r="Q15" s="392"/>
      <c r="R15" s="203"/>
      <c r="S15" s="284"/>
    </row>
    <row r="16" spans="1:19" s="866" customFormat="1" ht="61.5" customHeight="1">
      <c r="A16" s="279">
        <v>4</v>
      </c>
      <c r="B16" s="295" t="s">
        <v>1244</v>
      </c>
      <c r="C16" s="296" t="s">
        <v>89</v>
      </c>
      <c r="D16" s="279">
        <v>7945336</v>
      </c>
      <c r="E16" s="297" t="s">
        <v>1245</v>
      </c>
      <c r="F16" s="301" t="s">
        <v>1246</v>
      </c>
      <c r="G16" s="296" t="s">
        <v>1247</v>
      </c>
      <c r="H16" s="297" t="s">
        <v>673</v>
      </c>
      <c r="I16" s="298" t="s">
        <v>1976</v>
      </c>
      <c r="J16" s="299">
        <v>3970</v>
      </c>
      <c r="K16" s="299">
        <f>J16*0.7</f>
        <v>2779</v>
      </c>
      <c r="L16" s="300">
        <v>2779</v>
      </c>
      <c r="M16" s="300">
        <v>2779</v>
      </c>
      <c r="N16" s="300">
        <v>2065</v>
      </c>
      <c r="O16" s="300">
        <v>2065</v>
      </c>
      <c r="P16" s="392"/>
      <c r="Q16" s="392">
        <f>M16-N16</f>
        <v>714</v>
      </c>
      <c r="R16" s="297" t="s">
        <v>2243</v>
      </c>
      <c r="S16" s="284"/>
    </row>
    <row r="17" spans="1:19" s="866" customFormat="1" ht="61.5" customHeight="1">
      <c r="A17" s="279">
        <v>5</v>
      </c>
      <c r="B17" s="295" t="s">
        <v>1248</v>
      </c>
      <c r="C17" s="296" t="s">
        <v>89</v>
      </c>
      <c r="D17" s="314" t="s">
        <v>2242</v>
      </c>
      <c r="E17" s="297" t="s">
        <v>1245</v>
      </c>
      <c r="F17" s="301" t="s">
        <v>1246</v>
      </c>
      <c r="G17" s="296" t="s">
        <v>1247</v>
      </c>
      <c r="H17" s="297" t="s">
        <v>637</v>
      </c>
      <c r="I17" s="298" t="s">
        <v>1977</v>
      </c>
      <c r="J17" s="299">
        <v>1550</v>
      </c>
      <c r="K17" s="299">
        <f>J17*0.7</f>
        <v>1085</v>
      </c>
      <c r="L17" s="300">
        <v>1085</v>
      </c>
      <c r="M17" s="300">
        <v>1085</v>
      </c>
      <c r="N17" s="300">
        <v>1000</v>
      </c>
      <c r="O17" s="300">
        <v>1000</v>
      </c>
      <c r="P17" s="392"/>
      <c r="Q17" s="392">
        <f>M17-N17</f>
        <v>85</v>
      </c>
      <c r="R17" s="297" t="s">
        <v>2243</v>
      </c>
      <c r="S17" s="284"/>
    </row>
    <row r="18" spans="1:19" s="866" customFormat="1" ht="61.5" customHeight="1">
      <c r="A18" s="279">
        <v>6</v>
      </c>
      <c r="B18" s="295" t="s">
        <v>1249</v>
      </c>
      <c r="C18" s="296" t="s">
        <v>89</v>
      </c>
      <c r="D18" s="279">
        <v>7945339</v>
      </c>
      <c r="E18" s="297" t="s">
        <v>1245</v>
      </c>
      <c r="F18" s="301" t="s">
        <v>1246</v>
      </c>
      <c r="G18" s="296" t="s">
        <v>1242</v>
      </c>
      <c r="H18" s="297" t="s">
        <v>673</v>
      </c>
      <c r="I18" s="298" t="s">
        <v>1978</v>
      </c>
      <c r="J18" s="299">
        <v>3890</v>
      </c>
      <c r="K18" s="299">
        <f>J18*0.3</f>
        <v>1167</v>
      </c>
      <c r="L18" s="300">
        <v>1167</v>
      </c>
      <c r="M18" s="300">
        <v>1167</v>
      </c>
      <c r="N18" s="300">
        <v>1051</v>
      </c>
      <c r="O18" s="300">
        <v>1051</v>
      </c>
      <c r="P18" s="392"/>
      <c r="Q18" s="392">
        <f>M18-N18</f>
        <v>116</v>
      </c>
      <c r="R18" s="297" t="s">
        <v>2243</v>
      </c>
      <c r="S18" s="284"/>
    </row>
    <row r="19" spans="1:19" s="866" customFormat="1" ht="61.5" customHeight="1">
      <c r="A19" s="203">
        <v>7</v>
      </c>
      <c r="B19" s="302" t="s">
        <v>1250</v>
      </c>
      <c r="C19" s="296" t="s">
        <v>89</v>
      </c>
      <c r="D19" s="203">
        <v>3224004</v>
      </c>
      <c r="E19" s="304" t="s">
        <v>960</v>
      </c>
      <c r="F19" s="305" t="s">
        <v>1251</v>
      </c>
      <c r="G19" s="305" t="s">
        <v>1252</v>
      </c>
      <c r="H19" s="306" t="s">
        <v>1253</v>
      </c>
      <c r="I19" s="297" t="s">
        <v>2159</v>
      </c>
      <c r="J19" s="280">
        <v>1500</v>
      </c>
      <c r="K19" s="280">
        <v>1500</v>
      </c>
      <c r="L19" s="280">
        <v>1500</v>
      </c>
      <c r="M19" s="300">
        <v>1006</v>
      </c>
      <c r="N19" s="300">
        <v>1006</v>
      </c>
      <c r="O19" s="300">
        <v>1500</v>
      </c>
      <c r="P19" s="392">
        <f>L19-N19</f>
        <v>494</v>
      </c>
      <c r="Q19" s="392"/>
      <c r="R19" s="327" t="s">
        <v>2381</v>
      </c>
      <c r="S19" s="284"/>
    </row>
    <row r="20" spans="1:19" s="866" customFormat="1" ht="36.6" customHeight="1">
      <c r="A20" s="203">
        <v>8</v>
      </c>
      <c r="B20" s="302" t="s">
        <v>2382</v>
      </c>
      <c r="C20" s="296" t="s">
        <v>89</v>
      </c>
      <c r="D20" s="203"/>
      <c r="E20" s="304" t="s">
        <v>2383</v>
      </c>
      <c r="F20" s="304" t="s">
        <v>2384</v>
      </c>
      <c r="G20" s="296" t="s">
        <v>1242</v>
      </c>
      <c r="H20" s="306" t="s">
        <v>1253</v>
      </c>
      <c r="I20" s="297"/>
      <c r="J20" s="280">
        <v>600</v>
      </c>
      <c r="K20" s="280">
        <f>J20*0.5</f>
        <v>300</v>
      </c>
      <c r="L20" s="280"/>
      <c r="M20" s="300"/>
      <c r="N20" s="300"/>
      <c r="O20" s="300">
        <v>421</v>
      </c>
      <c r="P20" s="300">
        <v>421</v>
      </c>
      <c r="Q20" s="392"/>
      <c r="R20" s="327" t="s">
        <v>2385</v>
      </c>
      <c r="S20" s="284"/>
    </row>
    <row r="21" spans="1:19" s="865" customFormat="1" ht="45.6" customHeight="1">
      <c r="A21" s="839" t="s">
        <v>109</v>
      </c>
      <c r="B21" s="292" t="s">
        <v>1254</v>
      </c>
      <c r="C21" s="839"/>
      <c r="D21" s="839"/>
      <c r="E21" s="839"/>
      <c r="F21" s="839"/>
      <c r="G21" s="839"/>
      <c r="H21" s="839"/>
      <c r="I21" s="290"/>
      <c r="J21" s="291">
        <f>J22+J35</f>
        <v>256989.7</v>
      </c>
      <c r="K21" s="291">
        <f t="shared" ref="K21:Q21" si="4">K22+K35</f>
        <v>215582.86</v>
      </c>
      <c r="L21" s="291">
        <f t="shared" si="4"/>
        <v>115632</v>
      </c>
      <c r="M21" s="291">
        <f t="shared" si="4"/>
        <v>115632</v>
      </c>
      <c r="N21" s="291">
        <f t="shared" si="4"/>
        <v>95421</v>
      </c>
      <c r="O21" s="291">
        <f t="shared" si="4"/>
        <v>115632</v>
      </c>
      <c r="P21" s="291">
        <f t="shared" si="4"/>
        <v>1179</v>
      </c>
      <c r="Q21" s="291">
        <f t="shared" si="4"/>
        <v>1179</v>
      </c>
      <c r="R21" s="309"/>
      <c r="S21" s="289"/>
    </row>
    <row r="22" spans="1:19" s="865" customFormat="1" ht="53.1" customHeight="1">
      <c r="A22" s="839" t="s">
        <v>279</v>
      </c>
      <c r="B22" s="294" t="s">
        <v>1842</v>
      </c>
      <c r="C22" s="839"/>
      <c r="D22" s="839"/>
      <c r="E22" s="839"/>
      <c r="F22" s="839"/>
      <c r="G22" s="839"/>
      <c r="H22" s="839"/>
      <c r="I22" s="290"/>
      <c r="J22" s="378">
        <f t="shared" ref="J22:L22" si="5">SUM(J23:J34)</f>
        <v>67345</v>
      </c>
      <c r="K22" s="378">
        <f t="shared" si="5"/>
        <v>53789.899999999994</v>
      </c>
      <c r="L22" s="378">
        <f t="shared" si="5"/>
        <v>13755</v>
      </c>
      <c r="M22" s="378">
        <f>SUM(M23:M34)</f>
        <v>13755</v>
      </c>
      <c r="N22" s="378">
        <f t="shared" ref="N22:Q22" si="6">SUM(N23:N34)</f>
        <v>13755</v>
      </c>
      <c r="O22" s="378">
        <f t="shared" si="6"/>
        <v>13755</v>
      </c>
      <c r="P22" s="378">
        <f t="shared" si="6"/>
        <v>0</v>
      </c>
      <c r="Q22" s="378">
        <f t="shared" si="6"/>
        <v>0</v>
      </c>
      <c r="R22" s="309"/>
      <c r="S22" s="289"/>
    </row>
    <row r="23" spans="1:19" s="867" customFormat="1" ht="53.1" customHeight="1">
      <c r="A23" s="304">
        <v>1</v>
      </c>
      <c r="B23" s="281" t="s">
        <v>1255</v>
      </c>
      <c r="C23" s="279" t="s">
        <v>89</v>
      </c>
      <c r="D23" s="278" t="s">
        <v>1256</v>
      </c>
      <c r="E23" s="296" t="s">
        <v>1257</v>
      </c>
      <c r="F23" s="297" t="s">
        <v>1258</v>
      </c>
      <c r="G23" s="296" t="s">
        <v>1259</v>
      </c>
      <c r="H23" s="296" t="s">
        <v>1025</v>
      </c>
      <c r="I23" s="296" t="s">
        <v>1979</v>
      </c>
      <c r="J23" s="311">
        <v>4386</v>
      </c>
      <c r="K23" s="311">
        <f>J23*70%</f>
        <v>3070.2</v>
      </c>
      <c r="L23" s="311">
        <v>750</v>
      </c>
      <c r="M23" s="312">
        <v>750</v>
      </c>
      <c r="N23" s="312">
        <v>750</v>
      </c>
      <c r="O23" s="312">
        <v>750</v>
      </c>
      <c r="P23" s="393">
        <f>O23-M23</f>
        <v>0</v>
      </c>
      <c r="Q23" s="393"/>
      <c r="R23" s="203"/>
      <c r="S23" s="313"/>
    </row>
    <row r="24" spans="1:19" s="867" customFormat="1" ht="72.95" customHeight="1">
      <c r="A24" s="304">
        <v>2</v>
      </c>
      <c r="B24" s="281" t="s">
        <v>1260</v>
      </c>
      <c r="C24" s="279" t="s">
        <v>89</v>
      </c>
      <c r="D24" s="278" t="s">
        <v>1261</v>
      </c>
      <c r="E24" s="296" t="s">
        <v>1257</v>
      </c>
      <c r="F24" s="297" t="s">
        <v>1258</v>
      </c>
      <c r="G24" s="296" t="s">
        <v>1259</v>
      </c>
      <c r="H24" s="296" t="s">
        <v>1025</v>
      </c>
      <c r="I24" s="296" t="s">
        <v>1980</v>
      </c>
      <c r="J24" s="311">
        <v>4681</v>
      </c>
      <c r="K24" s="311">
        <f>J24*70%</f>
        <v>3276.7</v>
      </c>
      <c r="L24" s="311">
        <v>870</v>
      </c>
      <c r="M24" s="312">
        <v>870</v>
      </c>
      <c r="N24" s="312">
        <v>870</v>
      </c>
      <c r="O24" s="312">
        <v>870</v>
      </c>
      <c r="P24" s="393">
        <f t="shared" ref="P24:P58" si="7">O24-M24</f>
        <v>0</v>
      </c>
      <c r="Q24" s="393"/>
      <c r="R24" s="203"/>
      <c r="S24" s="313"/>
    </row>
    <row r="25" spans="1:19" s="867" customFormat="1" ht="78.95" customHeight="1">
      <c r="A25" s="304">
        <v>3</v>
      </c>
      <c r="B25" s="281" t="s">
        <v>1262</v>
      </c>
      <c r="C25" s="279" t="s">
        <v>89</v>
      </c>
      <c r="D25" s="278" t="s">
        <v>1263</v>
      </c>
      <c r="E25" s="296" t="s">
        <v>1264</v>
      </c>
      <c r="F25" s="297" t="s">
        <v>1265</v>
      </c>
      <c r="G25" s="296" t="s">
        <v>1266</v>
      </c>
      <c r="H25" s="296" t="s">
        <v>1025</v>
      </c>
      <c r="I25" s="296" t="s">
        <v>1982</v>
      </c>
      <c r="J25" s="311">
        <v>2261</v>
      </c>
      <c r="K25" s="311">
        <f>J25*70%</f>
        <v>1582.6999999999998</v>
      </c>
      <c r="L25" s="311">
        <v>32</v>
      </c>
      <c r="M25" s="312">
        <v>32</v>
      </c>
      <c r="N25" s="312">
        <v>32</v>
      </c>
      <c r="O25" s="312">
        <v>32</v>
      </c>
      <c r="P25" s="393">
        <f t="shared" si="7"/>
        <v>0</v>
      </c>
      <c r="Q25" s="393"/>
      <c r="R25" s="203"/>
      <c r="S25" s="313"/>
    </row>
    <row r="26" spans="1:19" s="867" customFormat="1" ht="90.6" customHeight="1">
      <c r="A26" s="304">
        <v>4</v>
      </c>
      <c r="B26" s="281" t="s">
        <v>1267</v>
      </c>
      <c r="C26" s="279" t="s">
        <v>89</v>
      </c>
      <c r="D26" s="278" t="s">
        <v>1268</v>
      </c>
      <c r="E26" s="296" t="s">
        <v>1269</v>
      </c>
      <c r="F26" s="297" t="s">
        <v>667</v>
      </c>
      <c r="G26" s="296" t="s">
        <v>1259</v>
      </c>
      <c r="H26" s="296" t="s">
        <v>661</v>
      </c>
      <c r="I26" s="296" t="s">
        <v>1981</v>
      </c>
      <c r="J26" s="311">
        <v>3829</v>
      </c>
      <c r="K26" s="311">
        <f>J26*0.7</f>
        <v>2680.2999999999997</v>
      </c>
      <c r="L26" s="311">
        <v>770</v>
      </c>
      <c r="M26" s="312">
        <v>770</v>
      </c>
      <c r="N26" s="312">
        <v>770</v>
      </c>
      <c r="O26" s="312">
        <v>770</v>
      </c>
      <c r="P26" s="393">
        <f t="shared" si="7"/>
        <v>0</v>
      </c>
      <c r="Q26" s="393"/>
      <c r="R26" s="203"/>
      <c r="S26" s="313"/>
    </row>
    <row r="27" spans="1:19" s="867" customFormat="1" ht="126.95" customHeight="1">
      <c r="A27" s="304">
        <v>5</v>
      </c>
      <c r="B27" s="281" t="s">
        <v>1270</v>
      </c>
      <c r="C27" s="279" t="s">
        <v>89</v>
      </c>
      <c r="D27" s="314" t="s">
        <v>1271</v>
      </c>
      <c r="E27" s="296" t="s">
        <v>1272</v>
      </c>
      <c r="F27" s="297" t="s">
        <v>904</v>
      </c>
      <c r="G27" s="296" t="s">
        <v>1259</v>
      </c>
      <c r="H27" s="296" t="s">
        <v>1025</v>
      </c>
      <c r="I27" s="296" t="s">
        <v>1983</v>
      </c>
      <c r="J27" s="311">
        <v>3538</v>
      </c>
      <c r="K27" s="311">
        <f>J27*0.7</f>
        <v>2476.6</v>
      </c>
      <c r="L27" s="311">
        <v>570</v>
      </c>
      <c r="M27" s="312">
        <v>570</v>
      </c>
      <c r="N27" s="312">
        <v>570</v>
      </c>
      <c r="O27" s="312">
        <v>570</v>
      </c>
      <c r="P27" s="393">
        <f t="shared" si="7"/>
        <v>0</v>
      </c>
      <c r="Q27" s="393"/>
      <c r="R27" s="203"/>
      <c r="S27" s="313"/>
    </row>
    <row r="28" spans="1:19" s="868" customFormat="1" ht="146.44999999999999" customHeight="1">
      <c r="A28" s="304">
        <v>6</v>
      </c>
      <c r="B28" s="315" t="s">
        <v>1273</v>
      </c>
      <c r="C28" s="279" t="s">
        <v>89</v>
      </c>
      <c r="D28" s="314" t="s">
        <v>1274</v>
      </c>
      <c r="E28" s="297" t="s">
        <v>658</v>
      </c>
      <c r="F28" s="304" t="s">
        <v>659</v>
      </c>
      <c r="G28" s="296" t="s">
        <v>2160</v>
      </c>
      <c r="H28" s="316" t="s">
        <v>661</v>
      </c>
      <c r="I28" s="316" t="s">
        <v>1984</v>
      </c>
      <c r="J28" s="311">
        <v>7168</v>
      </c>
      <c r="K28" s="311">
        <f>J28*0.8</f>
        <v>5734.4000000000005</v>
      </c>
      <c r="L28" s="311">
        <v>1517</v>
      </c>
      <c r="M28" s="312">
        <v>1517</v>
      </c>
      <c r="N28" s="312">
        <f>1517</f>
        <v>1517</v>
      </c>
      <c r="O28" s="312">
        <v>1517</v>
      </c>
      <c r="P28" s="393">
        <f t="shared" si="7"/>
        <v>0</v>
      </c>
      <c r="Q28" s="393"/>
      <c r="R28" s="203"/>
      <c r="S28" s="317"/>
    </row>
    <row r="29" spans="1:19" s="868" customFormat="1" ht="99.95" customHeight="1">
      <c r="A29" s="304">
        <v>7</v>
      </c>
      <c r="B29" s="315" t="s">
        <v>1275</v>
      </c>
      <c r="C29" s="279" t="s">
        <v>89</v>
      </c>
      <c r="D29" s="314" t="s">
        <v>1276</v>
      </c>
      <c r="E29" s="297" t="s">
        <v>658</v>
      </c>
      <c r="F29" s="296" t="s">
        <v>667</v>
      </c>
      <c r="G29" s="296" t="s">
        <v>2161</v>
      </c>
      <c r="H29" s="316" t="s">
        <v>661</v>
      </c>
      <c r="I29" s="316" t="s">
        <v>1985</v>
      </c>
      <c r="J29" s="311">
        <v>4700</v>
      </c>
      <c r="K29" s="311">
        <f>J29*0.8</f>
        <v>3760</v>
      </c>
      <c r="L29" s="311">
        <v>581</v>
      </c>
      <c r="M29" s="312">
        <v>581</v>
      </c>
      <c r="N29" s="312">
        <v>581</v>
      </c>
      <c r="O29" s="312">
        <v>581</v>
      </c>
      <c r="P29" s="393">
        <f t="shared" si="7"/>
        <v>0</v>
      </c>
      <c r="Q29" s="393"/>
      <c r="R29" s="203"/>
      <c r="S29" s="317"/>
    </row>
    <row r="30" spans="1:19" s="868" customFormat="1" ht="86.45" customHeight="1">
      <c r="A30" s="304">
        <v>8</v>
      </c>
      <c r="B30" s="315" t="s">
        <v>1277</v>
      </c>
      <c r="C30" s="279" t="s">
        <v>89</v>
      </c>
      <c r="D30" s="314" t="s">
        <v>1278</v>
      </c>
      <c r="E30" s="297" t="s">
        <v>658</v>
      </c>
      <c r="F30" s="296" t="s">
        <v>659</v>
      </c>
      <c r="G30" s="296" t="s">
        <v>1279</v>
      </c>
      <c r="H30" s="316" t="s">
        <v>661</v>
      </c>
      <c r="I30" s="316" t="s">
        <v>1986</v>
      </c>
      <c r="J30" s="311">
        <v>7610</v>
      </c>
      <c r="K30" s="311">
        <f>0.9*J30</f>
        <v>6849</v>
      </c>
      <c r="L30" s="311">
        <v>2203</v>
      </c>
      <c r="M30" s="312">
        <v>2203</v>
      </c>
      <c r="N30" s="312">
        <v>2203</v>
      </c>
      <c r="O30" s="312">
        <v>2203</v>
      </c>
      <c r="P30" s="393">
        <f t="shared" si="7"/>
        <v>0</v>
      </c>
      <c r="Q30" s="393"/>
      <c r="R30" s="203"/>
      <c r="S30" s="317"/>
    </row>
    <row r="31" spans="1:19" s="868" customFormat="1" ht="86.45" customHeight="1">
      <c r="A31" s="304">
        <v>9</v>
      </c>
      <c r="B31" s="315" t="s">
        <v>1280</v>
      </c>
      <c r="C31" s="279" t="s">
        <v>89</v>
      </c>
      <c r="D31" s="314" t="s">
        <v>1281</v>
      </c>
      <c r="E31" s="297" t="s">
        <v>658</v>
      </c>
      <c r="F31" s="296" t="s">
        <v>659</v>
      </c>
      <c r="G31" s="296" t="s">
        <v>1247</v>
      </c>
      <c r="H31" s="316" t="s">
        <v>661</v>
      </c>
      <c r="I31" s="316" t="s">
        <v>1987</v>
      </c>
      <c r="J31" s="311">
        <v>7643</v>
      </c>
      <c r="K31" s="311">
        <f>0.9*J31</f>
        <v>6878.7</v>
      </c>
      <c r="L31" s="311">
        <v>2090</v>
      </c>
      <c r="M31" s="312">
        <v>2090</v>
      </c>
      <c r="N31" s="312">
        <v>2090</v>
      </c>
      <c r="O31" s="312">
        <v>2090</v>
      </c>
      <c r="P31" s="393">
        <f t="shared" si="7"/>
        <v>0</v>
      </c>
      <c r="Q31" s="393"/>
      <c r="R31" s="203"/>
      <c r="S31" s="317"/>
    </row>
    <row r="32" spans="1:19" s="868" customFormat="1" ht="99.95" customHeight="1">
      <c r="A32" s="304">
        <v>10</v>
      </c>
      <c r="B32" s="315" t="s">
        <v>1282</v>
      </c>
      <c r="C32" s="279" t="s">
        <v>89</v>
      </c>
      <c r="D32" s="314" t="s">
        <v>1283</v>
      </c>
      <c r="E32" s="297" t="s">
        <v>658</v>
      </c>
      <c r="F32" s="296" t="s">
        <v>659</v>
      </c>
      <c r="G32" s="296" t="s">
        <v>1247</v>
      </c>
      <c r="H32" s="316" t="s">
        <v>661</v>
      </c>
      <c r="I32" s="316" t="s">
        <v>1928</v>
      </c>
      <c r="J32" s="311">
        <v>9474</v>
      </c>
      <c r="K32" s="311">
        <f>0.7*J32</f>
        <v>6631.7999999999993</v>
      </c>
      <c r="L32" s="311">
        <v>2354</v>
      </c>
      <c r="M32" s="312">
        <v>2354</v>
      </c>
      <c r="N32" s="312">
        <v>2354</v>
      </c>
      <c r="O32" s="312">
        <v>2354</v>
      </c>
      <c r="P32" s="393">
        <f t="shared" si="7"/>
        <v>0</v>
      </c>
      <c r="Q32" s="393"/>
      <c r="R32" s="203"/>
      <c r="S32" s="317"/>
    </row>
    <row r="33" spans="1:19" s="868" customFormat="1" ht="150" customHeight="1">
      <c r="A33" s="304">
        <v>11</v>
      </c>
      <c r="B33" s="315" t="s">
        <v>1284</v>
      </c>
      <c r="C33" s="279" t="s">
        <v>89</v>
      </c>
      <c r="D33" s="314" t="s">
        <v>1285</v>
      </c>
      <c r="E33" s="297" t="s">
        <v>658</v>
      </c>
      <c r="F33" s="296" t="s">
        <v>667</v>
      </c>
      <c r="G33" s="296" t="s">
        <v>1279</v>
      </c>
      <c r="H33" s="316" t="s">
        <v>661</v>
      </c>
      <c r="I33" s="316" t="s">
        <v>1988</v>
      </c>
      <c r="J33" s="311">
        <v>6072</v>
      </c>
      <c r="K33" s="311">
        <f>0.9*J33</f>
        <v>5464.8</v>
      </c>
      <c r="L33" s="311">
        <v>1527</v>
      </c>
      <c r="M33" s="312">
        <v>1527</v>
      </c>
      <c r="N33" s="312">
        <v>1527</v>
      </c>
      <c r="O33" s="312">
        <v>1527</v>
      </c>
      <c r="P33" s="393">
        <f t="shared" si="7"/>
        <v>0</v>
      </c>
      <c r="Q33" s="393"/>
      <c r="R33" s="203"/>
      <c r="S33" s="317"/>
    </row>
    <row r="34" spans="1:19" s="868" customFormat="1" ht="47.45" customHeight="1">
      <c r="A34" s="304">
        <v>12</v>
      </c>
      <c r="B34" s="315" t="s">
        <v>1286</v>
      </c>
      <c r="C34" s="279" t="s">
        <v>89</v>
      </c>
      <c r="D34" s="314" t="s">
        <v>1287</v>
      </c>
      <c r="E34" s="297" t="s">
        <v>658</v>
      </c>
      <c r="F34" s="296" t="s">
        <v>667</v>
      </c>
      <c r="G34" s="296" t="s">
        <v>1247</v>
      </c>
      <c r="H34" s="316" t="s">
        <v>661</v>
      </c>
      <c r="I34" s="316" t="s">
        <v>1989</v>
      </c>
      <c r="J34" s="311">
        <v>5983</v>
      </c>
      <c r="K34" s="311">
        <f>0.9*J34</f>
        <v>5384.7</v>
      </c>
      <c r="L34" s="311">
        <v>491</v>
      </c>
      <c r="M34" s="312">
        <v>491</v>
      </c>
      <c r="N34" s="312">
        <v>491</v>
      </c>
      <c r="O34" s="312">
        <v>491</v>
      </c>
      <c r="P34" s="393">
        <f t="shared" si="7"/>
        <v>0</v>
      </c>
      <c r="Q34" s="393"/>
      <c r="R34" s="203"/>
      <c r="S34" s="317"/>
    </row>
    <row r="35" spans="1:19" s="868" customFormat="1" ht="99.95" customHeight="1">
      <c r="A35" s="304" t="s">
        <v>98</v>
      </c>
      <c r="B35" s="294" t="s">
        <v>685</v>
      </c>
      <c r="C35" s="279"/>
      <c r="D35" s="314"/>
      <c r="E35" s="297"/>
      <c r="F35" s="296"/>
      <c r="G35" s="296"/>
      <c r="H35" s="316"/>
      <c r="I35" s="316"/>
      <c r="J35" s="379">
        <f t="shared" ref="J35:L35" si="8">SUM(J36:J58)</f>
        <v>189644.7</v>
      </c>
      <c r="K35" s="379">
        <f t="shared" si="8"/>
        <v>161792.95999999999</v>
      </c>
      <c r="L35" s="379">
        <f t="shared" si="8"/>
        <v>101877</v>
      </c>
      <c r="M35" s="379">
        <f>SUM(M36:M58)</f>
        <v>101877</v>
      </c>
      <c r="N35" s="379">
        <f t="shared" ref="N35:Q35" si="9">SUM(N36:N58)</f>
        <v>81666</v>
      </c>
      <c r="O35" s="379">
        <f t="shared" si="9"/>
        <v>101877</v>
      </c>
      <c r="P35" s="379">
        <f t="shared" si="9"/>
        <v>1179</v>
      </c>
      <c r="Q35" s="379">
        <f t="shared" si="9"/>
        <v>1179</v>
      </c>
      <c r="R35" s="203"/>
      <c r="S35" s="317"/>
    </row>
    <row r="36" spans="1:19" s="868" customFormat="1" ht="109.5" customHeight="1">
      <c r="A36" s="304">
        <v>1</v>
      </c>
      <c r="B36" s="315" t="s">
        <v>1288</v>
      </c>
      <c r="C36" s="279" t="s">
        <v>89</v>
      </c>
      <c r="D36" s="314" t="s">
        <v>1289</v>
      </c>
      <c r="E36" s="297" t="s">
        <v>658</v>
      </c>
      <c r="F36" s="296" t="s">
        <v>1290</v>
      </c>
      <c r="G36" s="296" t="s">
        <v>2162</v>
      </c>
      <c r="H36" s="316" t="s">
        <v>661</v>
      </c>
      <c r="I36" s="316" t="s">
        <v>1990</v>
      </c>
      <c r="J36" s="311">
        <v>981</v>
      </c>
      <c r="K36" s="311">
        <f t="shared" ref="K36:K45" si="10">J36*0.9</f>
        <v>882.9</v>
      </c>
      <c r="L36" s="311">
        <v>722</v>
      </c>
      <c r="M36" s="312">
        <v>722</v>
      </c>
      <c r="N36" s="312">
        <f>722</f>
        <v>722</v>
      </c>
      <c r="O36" s="312">
        <v>722</v>
      </c>
      <c r="P36" s="393">
        <f t="shared" si="7"/>
        <v>0</v>
      </c>
      <c r="Q36" s="393"/>
      <c r="R36" s="203"/>
      <c r="S36" s="317"/>
    </row>
    <row r="37" spans="1:19" s="868" customFormat="1" ht="102.6" customHeight="1">
      <c r="A37" s="304">
        <v>2</v>
      </c>
      <c r="B37" s="315" t="s">
        <v>1291</v>
      </c>
      <c r="C37" s="279" t="s">
        <v>89</v>
      </c>
      <c r="D37" s="314" t="s">
        <v>1292</v>
      </c>
      <c r="E37" s="297" t="s">
        <v>658</v>
      </c>
      <c r="F37" s="296" t="s">
        <v>1293</v>
      </c>
      <c r="G37" s="296" t="s">
        <v>2162</v>
      </c>
      <c r="H37" s="316" t="s">
        <v>661</v>
      </c>
      <c r="I37" s="316" t="s">
        <v>1991</v>
      </c>
      <c r="J37" s="311">
        <v>1263</v>
      </c>
      <c r="K37" s="311">
        <f t="shared" si="10"/>
        <v>1136.7</v>
      </c>
      <c r="L37" s="311">
        <v>1026</v>
      </c>
      <c r="M37" s="312">
        <v>1026</v>
      </c>
      <c r="N37" s="312">
        <v>1026</v>
      </c>
      <c r="O37" s="312">
        <v>1026</v>
      </c>
      <c r="P37" s="393">
        <f t="shared" si="7"/>
        <v>0</v>
      </c>
      <c r="Q37" s="393"/>
      <c r="R37" s="203"/>
      <c r="S37" s="317"/>
    </row>
    <row r="38" spans="1:19" s="868" customFormat="1" ht="113.1" customHeight="1">
      <c r="A38" s="304">
        <v>3</v>
      </c>
      <c r="B38" s="315" t="s">
        <v>1294</v>
      </c>
      <c r="C38" s="279" t="s">
        <v>89</v>
      </c>
      <c r="D38" s="314" t="s">
        <v>1295</v>
      </c>
      <c r="E38" s="297" t="s">
        <v>658</v>
      </c>
      <c r="F38" s="296" t="s">
        <v>1293</v>
      </c>
      <c r="G38" s="296" t="s">
        <v>2162</v>
      </c>
      <c r="H38" s="316" t="s">
        <v>661</v>
      </c>
      <c r="I38" s="316" t="s">
        <v>1992</v>
      </c>
      <c r="J38" s="311">
        <v>2790</v>
      </c>
      <c r="K38" s="311">
        <f t="shared" si="10"/>
        <v>2511</v>
      </c>
      <c r="L38" s="311">
        <v>2316</v>
      </c>
      <c r="M38" s="312">
        <v>2316</v>
      </c>
      <c r="N38" s="312">
        <v>2316</v>
      </c>
      <c r="O38" s="312">
        <v>2316</v>
      </c>
      <c r="P38" s="393">
        <f t="shared" si="7"/>
        <v>0</v>
      </c>
      <c r="Q38" s="393"/>
      <c r="R38" s="203"/>
      <c r="S38" s="317"/>
    </row>
    <row r="39" spans="1:19" s="868" customFormat="1" ht="99.95" customHeight="1">
      <c r="A39" s="304">
        <v>4</v>
      </c>
      <c r="B39" s="315" t="s">
        <v>1296</v>
      </c>
      <c r="C39" s="279" t="s">
        <v>89</v>
      </c>
      <c r="D39" s="314" t="s">
        <v>1297</v>
      </c>
      <c r="E39" s="297" t="s">
        <v>658</v>
      </c>
      <c r="F39" s="296" t="s">
        <v>1298</v>
      </c>
      <c r="G39" s="296" t="s">
        <v>2162</v>
      </c>
      <c r="H39" s="316" t="s">
        <v>661</v>
      </c>
      <c r="I39" s="316" t="s">
        <v>1993</v>
      </c>
      <c r="J39" s="311">
        <v>447</v>
      </c>
      <c r="K39" s="311">
        <f t="shared" si="10"/>
        <v>402.3</v>
      </c>
      <c r="L39" s="311">
        <v>363</v>
      </c>
      <c r="M39" s="312">
        <v>363</v>
      </c>
      <c r="N39" s="312">
        <v>363</v>
      </c>
      <c r="O39" s="312">
        <v>363</v>
      </c>
      <c r="P39" s="393">
        <f t="shared" si="7"/>
        <v>0</v>
      </c>
      <c r="Q39" s="393"/>
      <c r="R39" s="203"/>
      <c r="S39" s="317"/>
    </row>
    <row r="40" spans="1:19" s="868" customFormat="1" ht="113.1" customHeight="1">
      <c r="A40" s="304">
        <v>5</v>
      </c>
      <c r="B40" s="315" t="s">
        <v>1299</v>
      </c>
      <c r="C40" s="279" t="s">
        <v>89</v>
      </c>
      <c r="D40" s="314" t="s">
        <v>1300</v>
      </c>
      <c r="E40" s="297" t="s">
        <v>658</v>
      </c>
      <c r="F40" s="296" t="s">
        <v>1301</v>
      </c>
      <c r="G40" s="296" t="s">
        <v>2162</v>
      </c>
      <c r="H40" s="316" t="s">
        <v>661</v>
      </c>
      <c r="I40" s="316" t="s">
        <v>1994</v>
      </c>
      <c r="J40" s="311">
        <v>4630</v>
      </c>
      <c r="K40" s="311">
        <f>J40*0.9</f>
        <v>4167</v>
      </c>
      <c r="L40" s="311">
        <v>4036</v>
      </c>
      <c r="M40" s="282">
        <v>4036</v>
      </c>
      <c r="N40" s="282">
        <f>1991+1735+310</f>
        <v>4036</v>
      </c>
      <c r="O40" s="282">
        <v>4036</v>
      </c>
      <c r="P40" s="393">
        <f t="shared" si="7"/>
        <v>0</v>
      </c>
      <c r="Q40" s="393"/>
      <c r="R40" s="297"/>
      <c r="S40" s="317"/>
    </row>
    <row r="41" spans="1:19" s="868" customFormat="1" ht="99.95" customHeight="1">
      <c r="A41" s="304">
        <v>6</v>
      </c>
      <c r="B41" s="315" t="s">
        <v>1302</v>
      </c>
      <c r="C41" s="279" t="s">
        <v>89</v>
      </c>
      <c r="D41" s="314" t="s">
        <v>1303</v>
      </c>
      <c r="E41" s="297" t="s">
        <v>658</v>
      </c>
      <c r="F41" s="296" t="s">
        <v>1304</v>
      </c>
      <c r="G41" s="296" t="s">
        <v>2162</v>
      </c>
      <c r="H41" s="316" t="s">
        <v>661</v>
      </c>
      <c r="I41" s="316" t="s">
        <v>1995</v>
      </c>
      <c r="J41" s="311">
        <v>806</v>
      </c>
      <c r="K41" s="311">
        <f t="shared" si="10"/>
        <v>725.4</v>
      </c>
      <c r="L41" s="311">
        <v>656</v>
      </c>
      <c r="M41" s="312">
        <v>656</v>
      </c>
      <c r="N41" s="312">
        <v>656</v>
      </c>
      <c r="O41" s="312">
        <v>656</v>
      </c>
      <c r="P41" s="393">
        <f t="shared" si="7"/>
        <v>0</v>
      </c>
      <c r="Q41" s="393"/>
      <c r="R41" s="203"/>
      <c r="S41" s="317"/>
    </row>
    <row r="42" spans="1:19" s="868" customFormat="1" ht="99.95" customHeight="1">
      <c r="A42" s="304">
        <v>7</v>
      </c>
      <c r="B42" s="315" t="s">
        <v>1305</v>
      </c>
      <c r="C42" s="279" t="s">
        <v>89</v>
      </c>
      <c r="D42" s="314" t="s">
        <v>1306</v>
      </c>
      <c r="E42" s="297" t="s">
        <v>658</v>
      </c>
      <c r="F42" s="296" t="s">
        <v>1307</v>
      </c>
      <c r="G42" s="296" t="s">
        <v>2162</v>
      </c>
      <c r="H42" s="316" t="s">
        <v>661</v>
      </c>
      <c r="I42" s="316" t="s">
        <v>1996</v>
      </c>
      <c r="J42" s="311">
        <v>1817</v>
      </c>
      <c r="K42" s="311">
        <f t="shared" si="10"/>
        <v>1635.3</v>
      </c>
      <c r="L42" s="311">
        <v>1488</v>
      </c>
      <c r="M42" s="282">
        <v>1488</v>
      </c>
      <c r="N42" s="282">
        <f>1131+346</f>
        <v>1477</v>
      </c>
      <c r="O42" s="282">
        <v>1488</v>
      </c>
      <c r="P42" s="393">
        <f t="shared" si="7"/>
        <v>0</v>
      </c>
      <c r="Q42" s="393"/>
      <c r="R42" s="360"/>
      <c r="S42" s="317"/>
    </row>
    <row r="43" spans="1:19" s="317" customFormat="1" ht="99.95" customHeight="1">
      <c r="A43" s="304">
        <v>8</v>
      </c>
      <c r="B43" s="315" t="s">
        <v>1308</v>
      </c>
      <c r="C43" s="279" t="s">
        <v>89</v>
      </c>
      <c r="D43" s="314" t="s">
        <v>1309</v>
      </c>
      <c r="E43" s="297" t="s">
        <v>658</v>
      </c>
      <c r="F43" s="296" t="s">
        <v>1310</v>
      </c>
      <c r="G43" s="296" t="s">
        <v>2162</v>
      </c>
      <c r="H43" s="316" t="s">
        <v>661</v>
      </c>
      <c r="I43" s="316" t="s">
        <v>1997</v>
      </c>
      <c r="J43" s="311">
        <v>4666</v>
      </c>
      <c r="K43" s="311">
        <f>J43*0.9</f>
        <v>4199.4000000000005</v>
      </c>
      <c r="L43" s="311">
        <v>3745</v>
      </c>
      <c r="M43" s="282">
        <v>3745</v>
      </c>
      <c r="N43" s="282">
        <f>1873+1799+73</f>
        <v>3745</v>
      </c>
      <c r="O43" s="282">
        <v>3745</v>
      </c>
      <c r="P43" s="393">
        <f t="shared" si="7"/>
        <v>0</v>
      </c>
      <c r="Q43" s="393"/>
      <c r="R43" s="203"/>
    </row>
    <row r="44" spans="1:19" s="317" customFormat="1" ht="108.95" customHeight="1">
      <c r="A44" s="304">
        <v>9</v>
      </c>
      <c r="B44" s="315" t="s">
        <v>1311</v>
      </c>
      <c r="C44" s="279" t="s">
        <v>89</v>
      </c>
      <c r="D44" s="314" t="s">
        <v>1312</v>
      </c>
      <c r="E44" s="297" t="s">
        <v>658</v>
      </c>
      <c r="F44" s="296" t="s">
        <v>1313</v>
      </c>
      <c r="G44" s="296" t="s">
        <v>2162</v>
      </c>
      <c r="H44" s="316" t="s">
        <v>661</v>
      </c>
      <c r="I44" s="316" t="s">
        <v>1998</v>
      </c>
      <c r="J44" s="311">
        <v>3993</v>
      </c>
      <c r="K44" s="311">
        <f t="shared" si="10"/>
        <v>3593.7000000000003</v>
      </c>
      <c r="L44" s="311">
        <v>3181</v>
      </c>
      <c r="M44" s="282">
        <v>3181</v>
      </c>
      <c r="N44" s="282">
        <f>300+1954+927</f>
        <v>3181</v>
      </c>
      <c r="O44" s="282">
        <v>3181</v>
      </c>
      <c r="P44" s="393">
        <f t="shared" si="7"/>
        <v>0</v>
      </c>
      <c r="Q44" s="393"/>
      <c r="R44" s="203"/>
    </row>
    <row r="45" spans="1:19" s="868" customFormat="1" ht="99.95" customHeight="1">
      <c r="A45" s="304">
        <v>10</v>
      </c>
      <c r="B45" s="315" t="s">
        <v>1314</v>
      </c>
      <c r="C45" s="279" t="s">
        <v>89</v>
      </c>
      <c r="D45" s="314" t="s">
        <v>1315</v>
      </c>
      <c r="E45" s="297" t="s">
        <v>658</v>
      </c>
      <c r="F45" s="296" t="s">
        <v>1316</v>
      </c>
      <c r="G45" s="296" t="s">
        <v>2162</v>
      </c>
      <c r="H45" s="316" t="s">
        <v>661</v>
      </c>
      <c r="I45" s="316" t="s">
        <v>1999</v>
      </c>
      <c r="J45" s="311">
        <v>2473</v>
      </c>
      <c r="K45" s="311">
        <f t="shared" si="10"/>
        <v>2225.7000000000003</v>
      </c>
      <c r="L45" s="311">
        <v>1979</v>
      </c>
      <c r="M45" s="282">
        <v>1979</v>
      </c>
      <c r="N45" s="282">
        <f>1800+158+21</f>
        <v>1979</v>
      </c>
      <c r="O45" s="282">
        <v>1979</v>
      </c>
      <c r="P45" s="393">
        <f t="shared" si="7"/>
        <v>0</v>
      </c>
      <c r="Q45" s="393"/>
      <c r="R45" s="360"/>
      <c r="S45" s="317"/>
    </row>
    <row r="46" spans="1:19" s="868" customFormat="1" ht="138.75" customHeight="1">
      <c r="A46" s="304">
        <v>11</v>
      </c>
      <c r="B46" s="319" t="s">
        <v>1317</v>
      </c>
      <c r="C46" s="278" t="s">
        <v>89</v>
      </c>
      <c r="D46" s="278">
        <v>7873080</v>
      </c>
      <c r="E46" s="297" t="s">
        <v>658</v>
      </c>
      <c r="F46" s="297" t="s">
        <v>1258</v>
      </c>
      <c r="G46" s="297" t="s">
        <v>2163</v>
      </c>
      <c r="H46" s="297" t="s">
        <v>1318</v>
      </c>
      <c r="I46" s="320" t="s">
        <v>2000</v>
      </c>
      <c r="J46" s="309">
        <v>20000</v>
      </c>
      <c r="K46" s="321">
        <f>J46*0.8</f>
        <v>16000</v>
      </c>
      <c r="L46" s="321">
        <v>16000</v>
      </c>
      <c r="M46" s="311">
        <v>16000</v>
      </c>
      <c r="N46" s="311">
        <v>15700</v>
      </c>
      <c r="O46" s="311">
        <v>15700</v>
      </c>
      <c r="P46" s="393"/>
      <c r="Q46" s="393">
        <v>300</v>
      </c>
      <c r="R46" s="304" t="s">
        <v>2243</v>
      </c>
      <c r="S46" s="317"/>
    </row>
    <row r="47" spans="1:19" s="868" customFormat="1" ht="86.45" customHeight="1">
      <c r="A47" s="304">
        <v>12</v>
      </c>
      <c r="B47" s="281" t="s">
        <v>1319</v>
      </c>
      <c r="C47" s="278" t="s">
        <v>89</v>
      </c>
      <c r="D47" s="278">
        <v>7906076</v>
      </c>
      <c r="E47" s="297" t="s">
        <v>658</v>
      </c>
      <c r="F47" s="297" t="s">
        <v>1320</v>
      </c>
      <c r="G47" s="297" t="s">
        <v>2163</v>
      </c>
      <c r="H47" s="297" t="s">
        <v>673</v>
      </c>
      <c r="I47" s="320" t="s">
        <v>2001</v>
      </c>
      <c r="J47" s="309">
        <v>5600</v>
      </c>
      <c r="K47" s="321">
        <f>J47*0.8</f>
        <v>4480</v>
      </c>
      <c r="L47" s="321">
        <v>4480</v>
      </c>
      <c r="M47" s="311">
        <v>4480</v>
      </c>
      <c r="N47" s="311">
        <v>4416</v>
      </c>
      <c r="O47" s="311">
        <v>4416</v>
      </c>
      <c r="P47" s="393"/>
      <c r="Q47" s="393">
        <v>64</v>
      </c>
      <c r="R47" s="304" t="s">
        <v>2243</v>
      </c>
      <c r="S47" s="317"/>
    </row>
    <row r="48" spans="1:19" s="869" customFormat="1" ht="82.5" customHeight="1">
      <c r="A48" s="304">
        <v>13</v>
      </c>
      <c r="B48" s="322" t="s">
        <v>1321</v>
      </c>
      <c r="C48" s="297" t="s">
        <v>89</v>
      </c>
      <c r="D48" s="414">
        <v>7963341</v>
      </c>
      <c r="E48" s="279" t="s">
        <v>1322</v>
      </c>
      <c r="F48" s="279" t="s">
        <v>1323</v>
      </c>
      <c r="G48" s="316" t="s">
        <v>1324</v>
      </c>
      <c r="H48" s="279" t="s">
        <v>1318</v>
      </c>
      <c r="I48" s="279" t="s">
        <v>2002</v>
      </c>
      <c r="J48" s="300">
        <v>4500</v>
      </c>
      <c r="K48" s="300">
        <f>J48*0.7</f>
        <v>3150</v>
      </c>
      <c r="L48" s="300">
        <v>3150</v>
      </c>
      <c r="M48" s="311">
        <v>3150</v>
      </c>
      <c r="N48" s="311">
        <v>2997</v>
      </c>
      <c r="O48" s="311">
        <v>2997</v>
      </c>
      <c r="P48" s="393"/>
      <c r="Q48" s="393">
        <v>153</v>
      </c>
      <c r="R48" s="304" t="s">
        <v>2243</v>
      </c>
      <c r="S48" s="324"/>
    </row>
    <row r="49" spans="1:19" s="869" customFormat="1" ht="82.5" customHeight="1">
      <c r="A49" s="304">
        <v>14</v>
      </c>
      <c r="B49" s="322" t="s">
        <v>1325</v>
      </c>
      <c r="C49" s="297" t="s">
        <v>89</v>
      </c>
      <c r="D49" s="278"/>
      <c r="E49" s="279" t="s">
        <v>1322</v>
      </c>
      <c r="F49" s="279" t="s">
        <v>1326</v>
      </c>
      <c r="G49" s="316" t="s">
        <v>1327</v>
      </c>
      <c r="H49" s="279" t="s">
        <v>673</v>
      </c>
      <c r="I49" s="279" t="s">
        <v>1929</v>
      </c>
      <c r="J49" s="300">
        <v>15000</v>
      </c>
      <c r="K49" s="300">
        <f>J49*0.7</f>
        <v>10500</v>
      </c>
      <c r="L49" s="309"/>
      <c r="M49" s="312"/>
      <c r="N49" s="312"/>
      <c r="O49" s="312"/>
      <c r="P49" s="393">
        <f t="shared" si="7"/>
        <v>0</v>
      </c>
      <c r="Q49" s="392"/>
      <c r="R49" s="297" t="s">
        <v>1843</v>
      </c>
      <c r="S49" s="324"/>
    </row>
    <row r="50" spans="1:19" s="866" customFormat="1" ht="145.5" customHeight="1">
      <c r="A50" s="304">
        <v>15</v>
      </c>
      <c r="B50" s="319" t="s">
        <v>681</v>
      </c>
      <c r="C50" s="203" t="s">
        <v>89</v>
      </c>
      <c r="D50" s="278">
        <v>7909507</v>
      </c>
      <c r="E50" s="297" t="s">
        <v>658</v>
      </c>
      <c r="F50" s="203" t="s">
        <v>1328</v>
      </c>
      <c r="G50" s="297" t="s">
        <v>1329</v>
      </c>
      <c r="H50" s="203" t="s">
        <v>673</v>
      </c>
      <c r="I50" s="279" t="s">
        <v>2003</v>
      </c>
      <c r="J50" s="309">
        <v>21590</v>
      </c>
      <c r="K50" s="309">
        <v>21590</v>
      </c>
      <c r="L50" s="309">
        <v>21590</v>
      </c>
      <c r="M50" s="311">
        <v>21590</v>
      </c>
      <c r="N50" s="311">
        <v>21046</v>
      </c>
      <c r="O50" s="311">
        <v>21046</v>
      </c>
      <c r="P50" s="393"/>
      <c r="Q50" s="393">
        <v>544</v>
      </c>
      <c r="R50" s="381" t="s">
        <v>2243</v>
      </c>
      <c r="S50" s="284"/>
    </row>
    <row r="51" spans="1:19" s="866" customFormat="1" ht="99.95" customHeight="1">
      <c r="A51" s="304">
        <v>16</v>
      </c>
      <c r="B51" s="283" t="s">
        <v>674</v>
      </c>
      <c r="C51" s="203" t="s">
        <v>89</v>
      </c>
      <c r="D51" s="278">
        <v>7881788</v>
      </c>
      <c r="E51" s="297" t="s">
        <v>658</v>
      </c>
      <c r="F51" s="279" t="s">
        <v>671</v>
      </c>
      <c r="G51" s="297" t="s">
        <v>1330</v>
      </c>
      <c r="H51" s="297" t="s">
        <v>673</v>
      </c>
      <c r="I51" s="279" t="s">
        <v>2004</v>
      </c>
      <c r="J51" s="309">
        <v>14000</v>
      </c>
      <c r="K51" s="309">
        <v>14000</v>
      </c>
      <c r="L51" s="309">
        <v>14000</v>
      </c>
      <c r="M51" s="311">
        <v>14000</v>
      </c>
      <c r="N51" s="311">
        <v>13882</v>
      </c>
      <c r="O51" s="311">
        <v>13882</v>
      </c>
      <c r="P51" s="393"/>
      <c r="Q51" s="393">
        <v>118</v>
      </c>
      <c r="R51" s="381" t="s">
        <v>2243</v>
      </c>
      <c r="S51" s="284"/>
    </row>
    <row r="52" spans="1:19" s="869" customFormat="1" ht="124.5" customHeight="1">
      <c r="A52" s="304">
        <v>17</v>
      </c>
      <c r="B52" s="281" t="s">
        <v>1331</v>
      </c>
      <c r="C52" s="297"/>
      <c r="D52" s="278">
        <v>7948340</v>
      </c>
      <c r="E52" s="279" t="s">
        <v>658</v>
      </c>
      <c r="F52" s="297" t="s">
        <v>1332</v>
      </c>
      <c r="G52" s="279" t="s">
        <v>1333</v>
      </c>
      <c r="H52" s="297" t="s">
        <v>1253</v>
      </c>
      <c r="I52" s="279" t="s">
        <v>2386</v>
      </c>
      <c r="J52" s="280">
        <v>7400</v>
      </c>
      <c r="K52" s="280">
        <v>7400</v>
      </c>
      <c r="L52" s="309">
        <v>7400</v>
      </c>
      <c r="M52" s="311">
        <v>7400</v>
      </c>
      <c r="N52" s="311">
        <v>2466</v>
      </c>
      <c r="O52" s="311">
        <v>7400</v>
      </c>
      <c r="P52" s="393">
        <f t="shared" si="7"/>
        <v>0</v>
      </c>
      <c r="Q52" s="393"/>
      <c r="R52" s="298"/>
      <c r="S52" s="324"/>
    </row>
    <row r="53" spans="1:19" s="869" customFormat="1" ht="125.25" customHeight="1">
      <c r="A53" s="304">
        <v>18</v>
      </c>
      <c r="B53" s="281" t="s">
        <v>1335</v>
      </c>
      <c r="C53" s="297"/>
      <c r="D53" s="360" t="s">
        <v>2387</v>
      </c>
      <c r="E53" s="279" t="s">
        <v>658</v>
      </c>
      <c r="F53" s="297" t="s">
        <v>1265</v>
      </c>
      <c r="G53" s="279" t="s">
        <v>1336</v>
      </c>
      <c r="H53" s="297" t="s">
        <v>1253</v>
      </c>
      <c r="I53" s="279" t="s">
        <v>2244</v>
      </c>
      <c r="J53" s="280">
        <v>7000</v>
      </c>
      <c r="K53" s="280">
        <v>7000</v>
      </c>
      <c r="L53" s="309">
        <v>3725</v>
      </c>
      <c r="M53" s="311">
        <v>3725</v>
      </c>
      <c r="N53" s="311"/>
      <c r="O53" s="311">
        <v>3725</v>
      </c>
      <c r="P53" s="393">
        <f t="shared" si="7"/>
        <v>0</v>
      </c>
      <c r="Q53" s="393"/>
      <c r="R53" s="298"/>
      <c r="S53" s="324"/>
    </row>
    <row r="54" spans="1:19" s="869" customFormat="1" ht="189.75" customHeight="1">
      <c r="A54" s="304">
        <v>19</v>
      </c>
      <c r="B54" s="322" t="s">
        <v>1337</v>
      </c>
      <c r="C54" s="297" t="s">
        <v>89</v>
      </c>
      <c r="D54" s="360" t="s">
        <v>2388</v>
      </c>
      <c r="E54" s="279" t="s">
        <v>658</v>
      </c>
      <c r="F54" s="297" t="s">
        <v>1338</v>
      </c>
      <c r="G54" s="297" t="s">
        <v>1339</v>
      </c>
      <c r="H54" s="297" t="s">
        <v>1253</v>
      </c>
      <c r="I54" s="320" t="s">
        <v>2245</v>
      </c>
      <c r="J54" s="309">
        <v>6500</v>
      </c>
      <c r="K54" s="300">
        <f>J54*0.7</f>
        <v>4550</v>
      </c>
      <c r="L54" s="309">
        <v>2000</v>
      </c>
      <c r="M54" s="311">
        <v>2000</v>
      </c>
      <c r="N54" s="311"/>
      <c r="O54" s="311">
        <f>2000+1179</f>
        <v>3179</v>
      </c>
      <c r="P54" s="393">
        <f t="shared" si="7"/>
        <v>1179</v>
      </c>
      <c r="Q54" s="394"/>
      <c r="R54" s="327"/>
      <c r="S54" s="324"/>
    </row>
    <row r="55" spans="1:19" s="869" customFormat="1" ht="105.95" customHeight="1">
      <c r="A55" s="304">
        <v>20</v>
      </c>
      <c r="B55" s="281" t="s">
        <v>1340</v>
      </c>
      <c r="C55" s="297" t="s">
        <v>89</v>
      </c>
      <c r="D55" s="360" t="s">
        <v>2389</v>
      </c>
      <c r="E55" s="279" t="s">
        <v>658</v>
      </c>
      <c r="F55" s="297" t="s">
        <v>1338</v>
      </c>
      <c r="G55" s="279" t="s">
        <v>1341</v>
      </c>
      <c r="H55" s="297" t="s">
        <v>1253</v>
      </c>
      <c r="I55" s="297" t="s">
        <v>2390</v>
      </c>
      <c r="J55" s="280">
        <v>12114.7</v>
      </c>
      <c r="K55" s="300">
        <f>J55*0.8</f>
        <v>9691.76</v>
      </c>
      <c r="L55" s="309">
        <v>2000</v>
      </c>
      <c r="M55" s="311">
        <v>2000</v>
      </c>
      <c r="N55" s="311"/>
      <c r="O55" s="311">
        <v>2000</v>
      </c>
      <c r="P55" s="393">
        <f t="shared" si="7"/>
        <v>0</v>
      </c>
      <c r="Q55" s="395"/>
      <c r="R55" s="326"/>
      <c r="S55" s="324"/>
    </row>
    <row r="56" spans="1:19" s="869" customFormat="1" ht="122.45" customHeight="1">
      <c r="A56" s="304">
        <v>21</v>
      </c>
      <c r="B56" s="281" t="s">
        <v>1342</v>
      </c>
      <c r="C56" s="297" t="s">
        <v>89</v>
      </c>
      <c r="D56" s="360" t="s">
        <v>2391</v>
      </c>
      <c r="E56" s="279" t="s">
        <v>658</v>
      </c>
      <c r="F56" s="297" t="s">
        <v>1265</v>
      </c>
      <c r="G56" s="279" t="s">
        <v>2392</v>
      </c>
      <c r="H56" s="297" t="s">
        <v>1253</v>
      </c>
      <c r="I56" s="464" t="s">
        <v>2393</v>
      </c>
      <c r="J56" s="280">
        <v>13074</v>
      </c>
      <c r="K56" s="300">
        <f>J56*0.7</f>
        <v>9151.7999999999993</v>
      </c>
      <c r="L56" s="309">
        <v>2000</v>
      </c>
      <c r="M56" s="311">
        <v>2000</v>
      </c>
      <c r="N56" s="311">
        <v>1658</v>
      </c>
      <c r="O56" s="311">
        <v>2000</v>
      </c>
      <c r="P56" s="393">
        <f t="shared" si="7"/>
        <v>0</v>
      </c>
      <c r="Q56" s="394"/>
      <c r="R56" s="323"/>
      <c r="S56" s="324"/>
    </row>
    <row r="57" spans="1:19" s="869" customFormat="1" ht="81.95" customHeight="1">
      <c r="A57" s="304">
        <v>22</v>
      </c>
      <c r="B57" s="281" t="s">
        <v>1343</v>
      </c>
      <c r="C57" s="297"/>
      <c r="D57" s="360" t="s">
        <v>2394</v>
      </c>
      <c r="E57" s="279" t="s">
        <v>658</v>
      </c>
      <c r="F57" s="279" t="s">
        <v>904</v>
      </c>
      <c r="G57" s="279" t="s">
        <v>1341</v>
      </c>
      <c r="H57" s="297" t="s">
        <v>1253</v>
      </c>
      <c r="I57" s="298" t="s">
        <v>2395</v>
      </c>
      <c r="J57" s="328">
        <v>31000</v>
      </c>
      <c r="K57" s="328">
        <f>J57*0.8</f>
        <v>24800</v>
      </c>
      <c r="L57" s="329">
        <v>4402</v>
      </c>
      <c r="M57" s="309">
        <v>4402</v>
      </c>
      <c r="N57" s="309"/>
      <c r="O57" s="309">
        <v>4402</v>
      </c>
      <c r="P57" s="393">
        <f t="shared" si="7"/>
        <v>0</v>
      </c>
      <c r="Q57" s="393"/>
      <c r="R57" s="436"/>
      <c r="S57" s="324"/>
    </row>
    <row r="58" spans="1:19" s="869" customFormat="1" ht="82.5" customHeight="1">
      <c r="A58" s="304">
        <v>23</v>
      </c>
      <c r="B58" s="281" t="s">
        <v>1344</v>
      </c>
      <c r="C58" s="297"/>
      <c r="D58" s="326"/>
      <c r="E58" s="279" t="s">
        <v>658</v>
      </c>
      <c r="F58" s="297" t="s">
        <v>1345</v>
      </c>
      <c r="G58" s="279"/>
      <c r="H58" s="297" t="s">
        <v>1334</v>
      </c>
      <c r="I58" s="279"/>
      <c r="J58" s="280">
        <v>8000</v>
      </c>
      <c r="K58" s="300">
        <f>J58</f>
        <v>8000</v>
      </c>
      <c r="L58" s="309">
        <v>1618</v>
      </c>
      <c r="M58" s="311">
        <v>1618</v>
      </c>
      <c r="N58" s="311"/>
      <c r="O58" s="311">
        <v>1618</v>
      </c>
      <c r="P58" s="393">
        <f t="shared" si="7"/>
        <v>0</v>
      </c>
      <c r="Q58" s="393"/>
      <c r="R58" s="327"/>
      <c r="S58" s="324"/>
    </row>
    <row r="59" spans="1:19" s="865" customFormat="1" ht="42.95" customHeight="1">
      <c r="A59" s="839" t="s">
        <v>122</v>
      </c>
      <c r="B59" s="292" t="s">
        <v>1346</v>
      </c>
      <c r="C59" s="839"/>
      <c r="D59" s="839"/>
      <c r="E59" s="839"/>
      <c r="F59" s="839"/>
      <c r="G59" s="839"/>
      <c r="H59" s="839"/>
      <c r="I59" s="290"/>
      <c r="J59" s="848">
        <f>J60+J80+J101</f>
        <v>411348.2</v>
      </c>
      <c r="K59" s="848">
        <f t="shared" ref="K59:L59" si="11">K60+K80+K101</f>
        <v>357472.5</v>
      </c>
      <c r="L59" s="848">
        <f t="shared" si="11"/>
        <v>158763</v>
      </c>
      <c r="M59" s="848">
        <f>M60+M80+M101</f>
        <v>132264</v>
      </c>
      <c r="N59" s="848">
        <f t="shared" ref="N59:Q59" si="12">N60+N80+N101</f>
        <v>131396</v>
      </c>
      <c r="O59" s="848">
        <f t="shared" si="12"/>
        <v>132264</v>
      </c>
      <c r="P59" s="848">
        <f t="shared" si="12"/>
        <v>1184</v>
      </c>
      <c r="Q59" s="848">
        <f t="shared" si="12"/>
        <v>1184</v>
      </c>
      <c r="R59" s="309"/>
      <c r="S59" s="310"/>
    </row>
    <row r="60" spans="1:19" s="865" customFormat="1" ht="57.95" customHeight="1">
      <c r="A60" s="839" t="s">
        <v>279</v>
      </c>
      <c r="B60" s="372" t="s">
        <v>1842</v>
      </c>
      <c r="C60" s="839"/>
      <c r="D60" s="839"/>
      <c r="E60" s="839"/>
      <c r="F60" s="839"/>
      <c r="G60" s="839"/>
      <c r="H60" s="839"/>
      <c r="I60" s="290"/>
      <c r="J60" s="291">
        <f>SUM(J61:J79)</f>
        <v>150744</v>
      </c>
      <c r="K60" s="291">
        <f t="shared" ref="K60:Q60" si="13">SUM(K61:K79)</f>
        <v>123629.4</v>
      </c>
      <c r="L60" s="291">
        <f t="shared" si="13"/>
        <v>53119</v>
      </c>
      <c r="M60" s="291">
        <f t="shared" si="13"/>
        <v>53119</v>
      </c>
      <c r="N60" s="291">
        <f t="shared" si="13"/>
        <v>53108</v>
      </c>
      <c r="O60" s="291">
        <f t="shared" si="13"/>
        <v>53108</v>
      </c>
      <c r="P60" s="291">
        <f t="shared" si="13"/>
        <v>0</v>
      </c>
      <c r="Q60" s="291">
        <f t="shared" si="13"/>
        <v>11</v>
      </c>
      <c r="R60" s="309"/>
      <c r="S60" s="289"/>
    </row>
    <row r="61" spans="1:19" s="868" customFormat="1" ht="134.44999999999999" customHeight="1">
      <c r="A61" s="316">
        <v>1</v>
      </c>
      <c r="B61" s="315" t="s">
        <v>1347</v>
      </c>
      <c r="C61" s="279" t="s">
        <v>89</v>
      </c>
      <c r="D61" s="330">
        <v>7793091</v>
      </c>
      <c r="E61" s="330" t="s">
        <v>790</v>
      </c>
      <c r="F61" s="330" t="s">
        <v>908</v>
      </c>
      <c r="G61" s="296" t="s">
        <v>2164</v>
      </c>
      <c r="H61" s="296" t="s">
        <v>661</v>
      </c>
      <c r="I61" s="296" t="s">
        <v>1930</v>
      </c>
      <c r="J61" s="309">
        <v>6285</v>
      </c>
      <c r="K61" s="309">
        <f>0.8*J61</f>
        <v>5028</v>
      </c>
      <c r="L61" s="311">
        <v>1763</v>
      </c>
      <c r="M61" s="311">
        <v>1763</v>
      </c>
      <c r="N61" s="311">
        <v>1763</v>
      </c>
      <c r="O61" s="311">
        <f>N61</f>
        <v>1763</v>
      </c>
      <c r="P61" s="393">
        <f>O61-M61</f>
        <v>0</v>
      </c>
      <c r="Q61" s="393">
        <v>0</v>
      </c>
      <c r="R61" s="387"/>
      <c r="S61" s="317"/>
    </row>
    <row r="62" spans="1:19" s="868" customFormat="1" ht="112.5" customHeight="1">
      <c r="A62" s="316">
        <v>2</v>
      </c>
      <c r="B62" s="315" t="s">
        <v>1348</v>
      </c>
      <c r="C62" s="279" t="s">
        <v>89</v>
      </c>
      <c r="D62" s="330">
        <v>7793095</v>
      </c>
      <c r="E62" s="330" t="s">
        <v>790</v>
      </c>
      <c r="F62" s="331" t="s">
        <v>791</v>
      </c>
      <c r="G62" s="296" t="s">
        <v>2165</v>
      </c>
      <c r="H62" s="296" t="s">
        <v>661</v>
      </c>
      <c r="I62" s="296" t="s">
        <v>2005</v>
      </c>
      <c r="J62" s="312">
        <v>6000</v>
      </c>
      <c r="K62" s="312">
        <f>0.8*J62</f>
        <v>4800</v>
      </c>
      <c r="L62" s="311">
        <v>1700</v>
      </c>
      <c r="M62" s="311">
        <v>1700</v>
      </c>
      <c r="N62" s="311">
        <v>1700</v>
      </c>
      <c r="O62" s="311">
        <f>N62</f>
        <v>1700</v>
      </c>
      <c r="P62" s="393">
        <f t="shared" ref="P62:P79" si="14">O62-M62</f>
        <v>0</v>
      </c>
      <c r="Q62" s="393">
        <v>0</v>
      </c>
      <c r="R62" s="387"/>
      <c r="S62" s="317"/>
    </row>
    <row r="63" spans="1:19" s="868" customFormat="1" ht="138" customHeight="1">
      <c r="A63" s="316">
        <v>3</v>
      </c>
      <c r="B63" s="315" t="s">
        <v>1349</v>
      </c>
      <c r="C63" s="279" t="s">
        <v>89</v>
      </c>
      <c r="D63" s="330" t="s">
        <v>1350</v>
      </c>
      <c r="E63" s="330" t="s">
        <v>790</v>
      </c>
      <c r="F63" s="331" t="s">
        <v>908</v>
      </c>
      <c r="G63" s="296" t="s">
        <v>1240</v>
      </c>
      <c r="H63" s="296" t="s">
        <v>661</v>
      </c>
      <c r="I63" s="296" t="s">
        <v>2006</v>
      </c>
      <c r="J63" s="312">
        <v>14950</v>
      </c>
      <c r="K63" s="312">
        <f>0.9*J63</f>
        <v>13455</v>
      </c>
      <c r="L63" s="311">
        <v>8452</v>
      </c>
      <c r="M63" s="311">
        <v>8452</v>
      </c>
      <c r="N63" s="311">
        <f>6952+1489</f>
        <v>8441</v>
      </c>
      <c r="O63" s="311">
        <f>M63-Q63</f>
        <v>8441</v>
      </c>
      <c r="P63" s="393"/>
      <c r="Q63" s="312">
        <v>11</v>
      </c>
      <c r="R63" s="381" t="s">
        <v>2243</v>
      </c>
      <c r="S63" s="317"/>
    </row>
    <row r="64" spans="1:19" s="868" customFormat="1" ht="87.95" customHeight="1">
      <c r="A64" s="316">
        <v>4</v>
      </c>
      <c r="B64" s="315" t="s">
        <v>1351</v>
      </c>
      <c r="C64" s="279" t="s">
        <v>89</v>
      </c>
      <c r="D64" s="330" t="s">
        <v>1352</v>
      </c>
      <c r="E64" s="330" t="s">
        <v>790</v>
      </c>
      <c r="F64" s="331" t="s">
        <v>908</v>
      </c>
      <c r="G64" s="296" t="s">
        <v>1353</v>
      </c>
      <c r="H64" s="296" t="s">
        <v>661</v>
      </c>
      <c r="I64" s="296" t="s">
        <v>2007</v>
      </c>
      <c r="J64" s="312">
        <v>13605</v>
      </c>
      <c r="K64" s="312">
        <f>0.9*J64</f>
        <v>12244.5</v>
      </c>
      <c r="L64" s="311">
        <v>5018</v>
      </c>
      <c r="M64" s="311">
        <v>5018</v>
      </c>
      <c r="N64" s="311">
        <f>4970+48</f>
        <v>5018</v>
      </c>
      <c r="O64" s="311">
        <f t="shared" ref="O64:O70" si="15">N64</f>
        <v>5018</v>
      </c>
      <c r="P64" s="393">
        <f t="shared" si="14"/>
        <v>0</v>
      </c>
      <c r="Q64" s="393">
        <v>0</v>
      </c>
      <c r="R64" s="203"/>
      <c r="S64" s="317"/>
    </row>
    <row r="65" spans="1:19" s="868" customFormat="1" ht="87.95" customHeight="1">
      <c r="A65" s="316">
        <v>5</v>
      </c>
      <c r="B65" s="315" t="s">
        <v>1354</v>
      </c>
      <c r="C65" s="279" t="s">
        <v>89</v>
      </c>
      <c r="D65" s="330" t="s">
        <v>1355</v>
      </c>
      <c r="E65" s="330" t="s">
        <v>790</v>
      </c>
      <c r="F65" s="331" t="s">
        <v>908</v>
      </c>
      <c r="G65" s="296" t="s">
        <v>1353</v>
      </c>
      <c r="H65" s="296" t="s">
        <v>661</v>
      </c>
      <c r="I65" s="296" t="s">
        <v>2008</v>
      </c>
      <c r="J65" s="312">
        <v>5540</v>
      </c>
      <c r="K65" s="312">
        <f>0.9*J65</f>
        <v>4986</v>
      </c>
      <c r="L65" s="311">
        <v>1980</v>
      </c>
      <c r="M65" s="311">
        <v>1980</v>
      </c>
      <c r="N65" s="311">
        <f>1800+180</f>
        <v>1980</v>
      </c>
      <c r="O65" s="311">
        <f t="shared" si="15"/>
        <v>1980</v>
      </c>
      <c r="P65" s="393">
        <f t="shared" si="14"/>
        <v>0</v>
      </c>
      <c r="Q65" s="393">
        <v>0</v>
      </c>
      <c r="R65" s="203"/>
      <c r="S65" s="317"/>
    </row>
    <row r="66" spans="1:19" s="868" customFormat="1" ht="75.599999999999994" customHeight="1">
      <c r="A66" s="316">
        <v>6</v>
      </c>
      <c r="B66" s="315" t="s">
        <v>1356</v>
      </c>
      <c r="C66" s="279" t="s">
        <v>89</v>
      </c>
      <c r="D66" s="330" t="s">
        <v>1357</v>
      </c>
      <c r="E66" s="330" t="s">
        <v>790</v>
      </c>
      <c r="F66" s="331" t="s">
        <v>908</v>
      </c>
      <c r="G66" s="296" t="s">
        <v>1240</v>
      </c>
      <c r="H66" s="296" t="s">
        <v>661</v>
      </c>
      <c r="I66" s="296" t="s">
        <v>2009</v>
      </c>
      <c r="J66" s="312">
        <v>10822</v>
      </c>
      <c r="K66" s="312">
        <f>0.7*J66</f>
        <v>7575.4</v>
      </c>
      <c r="L66" s="311">
        <v>4070</v>
      </c>
      <c r="M66" s="311">
        <v>4070</v>
      </c>
      <c r="N66" s="311">
        <f>3000+1070</f>
        <v>4070</v>
      </c>
      <c r="O66" s="311">
        <f t="shared" si="15"/>
        <v>4070</v>
      </c>
      <c r="P66" s="393">
        <f t="shared" si="14"/>
        <v>0</v>
      </c>
      <c r="Q66" s="393">
        <v>0</v>
      </c>
      <c r="R66" s="203"/>
      <c r="S66" s="317"/>
    </row>
    <row r="67" spans="1:19" s="868" customFormat="1" ht="87.95" customHeight="1">
      <c r="A67" s="316">
        <v>7</v>
      </c>
      <c r="B67" s="315" t="s">
        <v>1358</v>
      </c>
      <c r="C67" s="279" t="s">
        <v>89</v>
      </c>
      <c r="D67" s="330" t="s">
        <v>1359</v>
      </c>
      <c r="E67" s="330" t="s">
        <v>790</v>
      </c>
      <c r="F67" s="331" t="s">
        <v>908</v>
      </c>
      <c r="G67" s="296" t="s">
        <v>1240</v>
      </c>
      <c r="H67" s="296" t="s">
        <v>661</v>
      </c>
      <c r="I67" s="296" t="s">
        <v>2010</v>
      </c>
      <c r="J67" s="312">
        <v>6446</v>
      </c>
      <c r="K67" s="312">
        <f>0.7*J67</f>
        <v>4512.2</v>
      </c>
      <c r="L67" s="311">
        <v>1280</v>
      </c>
      <c r="M67" s="311">
        <v>1280</v>
      </c>
      <c r="N67" s="311">
        <f>1280</f>
        <v>1280</v>
      </c>
      <c r="O67" s="311">
        <f t="shared" si="15"/>
        <v>1280</v>
      </c>
      <c r="P67" s="393">
        <f t="shared" si="14"/>
        <v>0</v>
      </c>
      <c r="Q67" s="393">
        <v>0</v>
      </c>
      <c r="R67" s="203"/>
      <c r="S67" s="317"/>
    </row>
    <row r="68" spans="1:19" s="868" customFormat="1" ht="84.6" customHeight="1">
      <c r="A68" s="316">
        <v>8</v>
      </c>
      <c r="B68" s="315" t="s">
        <v>1360</v>
      </c>
      <c r="C68" s="279" t="s">
        <v>89</v>
      </c>
      <c r="D68" s="330" t="s">
        <v>1361</v>
      </c>
      <c r="E68" s="330" t="s">
        <v>790</v>
      </c>
      <c r="F68" s="331" t="s">
        <v>908</v>
      </c>
      <c r="G68" s="296" t="s">
        <v>1240</v>
      </c>
      <c r="H68" s="296" t="s">
        <v>661</v>
      </c>
      <c r="I68" s="296" t="s">
        <v>2011</v>
      </c>
      <c r="J68" s="312">
        <v>8148</v>
      </c>
      <c r="K68" s="312">
        <f>0.7*J68</f>
        <v>5703.5999999999995</v>
      </c>
      <c r="L68" s="311">
        <v>2200</v>
      </c>
      <c r="M68" s="311">
        <v>2200</v>
      </c>
      <c r="N68" s="311">
        <f>2200</f>
        <v>2200</v>
      </c>
      <c r="O68" s="311">
        <f t="shared" si="15"/>
        <v>2200</v>
      </c>
      <c r="P68" s="393">
        <f t="shared" si="14"/>
        <v>0</v>
      </c>
      <c r="Q68" s="393">
        <v>0</v>
      </c>
      <c r="R68" s="203"/>
      <c r="S68" s="317"/>
    </row>
    <row r="69" spans="1:19" s="868" customFormat="1" ht="86.45" customHeight="1">
      <c r="A69" s="316">
        <v>9</v>
      </c>
      <c r="B69" s="315" t="s">
        <v>1362</v>
      </c>
      <c r="C69" s="279" t="s">
        <v>89</v>
      </c>
      <c r="D69" s="330" t="s">
        <v>1363</v>
      </c>
      <c r="E69" s="330" t="s">
        <v>790</v>
      </c>
      <c r="F69" s="331" t="s">
        <v>908</v>
      </c>
      <c r="G69" s="296" t="s">
        <v>1240</v>
      </c>
      <c r="H69" s="296" t="s">
        <v>661</v>
      </c>
      <c r="I69" s="296" t="s">
        <v>2012</v>
      </c>
      <c r="J69" s="312">
        <v>5043</v>
      </c>
      <c r="K69" s="312">
        <f>0.7*J69</f>
        <v>3530.1</v>
      </c>
      <c r="L69" s="311">
        <v>450</v>
      </c>
      <c r="M69" s="311">
        <v>450</v>
      </c>
      <c r="N69" s="311">
        <v>450</v>
      </c>
      <c r="O69" s="311">
        <f t="shared" si="15"/>
        <v>450</v>
      </c>
      <c r="P69" s="393">
        <f t="shared" si="14"/>
        <v>0</v>
      </c>
      <c r="Q69" s="393">
        <v>0</v>
      </c>
      <c r="R69" s="203"/>
      <c r="S69" s="317"/>
    </row>
    <row r="70" spans="1:19" s="868" customFormat="1" ht="76.5" customHeight="1">
      <c r="A70" s="316">
        <v>10</v>
      </c>
      <c r="B70" s="315" t="s">
        <v>1364</v>
      </c>
      <c r="C70" s="279" t="s">
        <v>89</v>
      </c>
      <c r="D70" s="330" t="s">
        <v>1365</v>
      </c>
      <c r="E70" s="330" t="s">
        <v>790</v>
      </c>
      <c r="F70" s="331" t="s">
        <v>908</v>
      </c>
      <c r="G70" s="296" t="s">
        <v>1240</v>
      </c>
      <c r="H70" s="296" t="s">
        <v>661</v>
      </c>
      <c r="I70" s="296" t="s">
        <v>2013</v>
      </c>
      <c r="J70" s="312">
        <v>6105</v>
      </c>
      <c r="K70" s="312">
        <f>0.7*J70</f>
        <v>4273.5</v>
      </c>
      <c r="L70" s="311">
        <v>1200</v>
      </c>
      <c r="M70" s="311">
        <v>1200</v>
      </c>
      <c r="N70" s="311">
        <v>1200</v>
      </c>
      <c r="O70" s="311">
        <f t="shared" si="15"/>
        <v>1200</v>
      </c>
      <c r="P70" s="393">
        <f t="shared" si="14"/>
        <v>0</v>
      </c>
      <c r="Q70" s="393">
        <v>0</v>
      </c>
      <c r="R70" s="203"/>
      <c r="S70" s="317"/>
    </row>
    <row r="71" spans="1:19" s="868" customFormat="1" ht="81" customHeight="1">
      <c r="A71" s="316">
        <v>11</v>
      </c>
      <c r="B71" s="315" t="s">
        <v>1366</v>
      </c>
      <c r="C71" s="279" t="s">
        <v>89</v>
      </c>
      <c r="D71" s="330" t="s">
        <v>1367</v>
      </c>
      <c r="E71" s="330" t="s">
        <v>790</v>
      </c>
      <c r="F71" s="331" t="s">
        <v>791</v>
      </c>
      <c r="G71" s="296" t="s">
        <v>1368</v>
      </c>
      <c r="H71" s="296" t="s">
        <v>661</v>
      </c>
      <c r="I71" s="296" t="s">
        <v>2014</v>
      </c>
      <c r="J71" s="312">
        <v>10800</v>
      </c>
      <c r="K71" s="312">
        <f>0.9*J71</f>
        <v>9720</v>
      </c>
      <c r="L71" s="311">
        <v>4510</v>
      </c>
      <c r="M71" s="311">
        <v>4510</v>
      </c>
      <c r="N71" s="311">
        <f>3030+1480</f>
        <v>4510</v>
      </c>
      <c r="O71" s="311">
        <v>4510</v>
      </c>
      <c r="P71" s="393">
        <f t="shared" si="14"/>
        <v>0</v>
      </c>
      <c r="Q71" s="393">
        <v>0</v>
      </c>
      <c r="R71" s="203"/>
      <c r="S71" s="317"/>
    </row>
    <row r="72" spans="1:19" s="868" customFormat="1" ht="76.5" customHeight="1">
      <c r="A72" s="316">
        <v>12</v>
      </c>
      <c r="B72" s="315" t="s">
        <v>1369</v>
      </c>
      <c r="C72" s="279" t="s">
        <v>89</v>
      </c>
      <c r="D72" s="330">
        <v>7793052</v>
      </c>
      <c r="E72" s="330" t="s">
        <v>790</v>
      </c>
      <c r="F72" s="331" t="s">
        <v>791</v>
      </c>
      <c r="G72" s="296" t="s">
        <v>1370</v>
      </c>
      <c r="H72" s="296" t="s">
        <v>661</v>
      </c>
      <c r="I72" s="296" t="s">
        <v>2015</v>
      </c>
      <c r="J72" s="312">
        <v>5962</v>
      </c>
      <c r="K72" s="312">
        <f>0.9*J72</f>
        <v>5365.8</v>
      </c>
      <c r="L72" s="311">
        <v>1869</v>
      </c>
      <c r="M72" s="311">
        <v>1869</v>
      </c>
      <c r="N72" s="311">
        <v>1869</v>
      </c>
      <c r="O72" s="311">
        <f>N72</f>
        <v>1869</v>
      </c>
      <c r="P72" s="393">
        <f t="shared" si="14"/>
        <v>0</v>
      </c>
      <c r="Q72" s="393">
        <v>0</v>
      </c>
      <c r="R72" s="203"/>
      <c r="S72" s="317"/>
    </row>
    <row r="73" spans="1:19" s="868" customFormat="1" ht="87" customHeight="1">
      <c r="A73" s="316">
        <v>13</v>
      </c>
      <c r="B73" s="315" t="s">
        <v>1371</v>
      </c>
      <c r="C73" s="279" t="s">
        <v>89</v>
      </c>
      <c r="D73" s="330" t="s">
        <v>1372</v>
      </c>
      <c r="E73" s="330" t="s">
        <v>790</v>
      </c>
      <c r="F73" s="331" t="s">
        <v>791</v>
      </c>
      <c r="G73" s="296" t="s">
        <v>1370</v>
      </c>
      <c r="H73" s="296" t="s">
        <v>661</v>
      </c>
      <c r="I73" s="296" t="s">
        <v>2016</v>
      </c>
      <c r="J73" s="312">
        <v>12821</v>
      </c>
      <c r="K73" s="312">
        <f>0.9*J73</f>
        <v>11538.9</v>
      </c>
      <c r="L73" s="311">
        <v>6078</v>
      </c>
      <c r="M73" s="311">
        <v>6078</v>
      </c>
      <c r="N73" s="311">
        <f>4000+2078</f>
        <v>6078</v>
      </c>
      <c r="O73" s="311">
        <v>6078</v>
      </c>
      <c r="P73" s="393">
        <f t="shared" si="14"/>
        <v>0</v>
      </c>
      <c r="Q73" s="393">
        <v>0</v>
      </c>
      <c r="R73" s="203"/>
      <c r="S73" s="317"/>
    </row>
    <row r="74" spans="1:19" s="868" customFormat="1" ht="87" customHeight="1">
      <c r="A74" s="316">
        <v>14</v>
      </c>
      <c r="B74" s="315" t="s">
        <v>1373</v>
      </c>
      <c r="C74" s="279" t="s">
        <v>89</v>
      </c>
      <c r="D74" s="330" t="s">
        <v>1374</v>
      </c>
      <c r="E74" s="330" t="s">
        <v>790</v>
      </c>
      <c r="F74" s="331" t="s">
        <v>791</v>
      </c>
      <c r="G74" s="296" t="s">
        <v>1370</v>
      </c>
      <c r="H74" s="296" t="s">
        <v>661</v>
      </c>
      <c r="I74" s="296" t="s">
        <v>2017</v>
      </c>
      <c r="J74" s="312">
        <v>6814</v>
      </c>
      <c r="K74" s="312">
        <f>0.9*J74</f>
        <v>6132.6</v>
      </c>
      <c r="L74" s="311">
        <v>3273</v>
      </c>
      <c r="M74" s="311">
        <v>3273</v>
      </c>
      <c r="N74" s="311">
        <v>3273</v>
      </c>
      <c r="O74" s="311">
        <f>N74</f>
        <v>3273</v>
      </c>
      <c r="P74" s="393">
        <f t="shared" si="14"/>
        <v>0</v>
      </c>
      <c r="Q74" s="393">
        <v>0</v>
      </c>
      <c r="R74" s="203"/>
      <c r="S74" s="317"/>
    </row>
    <row r="75" spans="1:19" s="868" customFormat="1" ht="72.95" customHeight="1">
      <c r="A75" s="316">
        <v>15</v>
      </c>
      <c r="B75" s="315" t="s">
        <v>1375</v>
      </c>
      <c r="C75" s="279" t="s">
        <v>89</v>
      </c>
      <c r="D75" s="330" t="s">
        <v>1376</v>
      </c>
      <c r="E75" s="330" t="s">
        <v>790</v>
      </c>
      <c r="F75" s="331" t="s">
        <v>791</v>
      </c>
      <c r="G75" s="296" t="s">
        <v>1370</v>
      </c>
      <c r="H75" s="296" t="s">
        <v>661</v>
      </c>
      <c r="I75" s="296" t="s">
        <v>2018</v>
      </c>
      <c r="J75" s="312">
        <v>6497</v>
      </c>
      <c r="K75" s="312">
        <f>0.9*J75</f>
        <v>5847.3</v>
      </c>
      <c r="L75" s="311">
        <v>3340</v>
      </c>
      <c r="M75" s="311">
        <v>3340</v>
      </c>
      <c r="N75" s="311">
        <f>3000+340</f>
        <v>3340</v>
      </c>
      <c r="O75" s="311">
        <f>N75</f>
        <v>3340</v>
      </c>
      <c r="P75" s="393">
        <f t="shared" si="14"/>
        <v>0</v>
      </c>
      <c r="Q75" s="393">
        <v>0</v>
      </c>
      <c r="R75" s="203"/>
      <c r="S75" s="317"/>
    </row>
    <row r="76" spans="1:19" s="868" customFormat="1" ht="76.5" customHeight="1">
      <c r="A76" s="316">
        <v>16</v>
      </c>
      <c r="B76" s="315" t="s">
        <v>1377</v>
      </c>
      <c r="C76" s="279" t="s">
        <v>89</v>
      </c>
      <c r="D76" s="330" t="s">
        <v>1378</v>
      </c>
      <c r="E76" s="330" t="s">
        <v>790</v>
      </c>
      <c r="F76" s="331" t="s">
        <v>791</v>
      </c>
      <c r="G76" s="296" t="s">
        <v>1370</v>
      </c>
      <c r="H76" s="296" t="s">
        <v>661</v>
      </c>
      <c r="I76" s="296" t="s">
        <v>2019</v>
      </c>
      <c r="J76" s="312">
        <v>5400</v>
      </c>
      <c r="K76" s="312">
        <f>0.7*J76</f>
        <v>3779.9999999999995</v>
      </c>
      <c r="L76" s="311">
        <v>698</v>
      </c>
      <c r="M76" s="311">
        <v>698</v>
      </c>
      <c r="N76" s="311">
        <v>698</v>
      </c>
      <c r="O76" s="311">
        <v>698</v>
      </c>
      <c r="P76" s="393">
        <f t="shared" si="14"/>
        <v>0</v>
      </c>
      <c r="Q76" s="393">
        <v>0</v>
      </c>
      <c r="R76" s="203"/>
      <c r="S76" s="317"/>
    </row>
    <row r="77" spans="1:19" s="868" customFormat="1" ht="74.45" customHeight="1">
      <c r="A77" s="316">
        <v>17</v>
      </c>
      <c r="B77" s="315" t="s">
        <v>1379</v>
      </c>
      <c r="C77" s="279" t="s">
        <v>89</v>
      </c>
      <c r="D77" s="330" t="s">
        <v>1380</v>
      </c>
      <c r="E77" s="330" t="s">
        <v>790</v>
      </c>
      <c r="F77" s="331" t="s">
        <v>791</v>
      </c>
      <c r="G77" s="296" t="s">
        <v>1370</v>
      </c>
      <c r="H77" s="296" t="s">
        <v>661</v>
      </c>
      <c r="I77" s="296" t="s">
        <v>2020</v>
      </c>
      <c r="J77" s="312">
        <v>7332</v>
      </c>
      <c r="K77" s="312">
        <f>0.7*J77</f>
        <v>5132.3999999999996</v>
      </c>
      <c r="L77" s="311">
        <v>2038</v>
      </c>
      <c r="M77" s="282">
        <v>2038</v>
      </c>
      <c r="N77" s="282">
        <f>1948+90</f>
        <v>2038</v>
      </c>
      <c r="O77" s="282">
        <v>2038</v>
      </c>
      <c r="P77" s="393">
        <f t="shared" si="14"/>
        <v>0</v>
      </c>
      <c r="Q77" s="393">
        <v>0</v>
      </c>
      <c r="R77" s="203"/>
      <c r="S77" s="317"/>
    </row>
    <row r="78" spans="1:19" s="868" customFormat="1" ht="80.45" customHeight="1">
      <c r="A78" s="316">
        <v>18</v>
      </c>
      <c r="B78" s="315" t="s">
        <v>1381</v>
      </c>
      <c r="C78" s="279" t="s">
        <v>89</v>
      </c>
      <c r="D78" s="330" t="s">
        <v>1382</v>
      </c>
      <c r="E78" s="330" t="s">
        <v>790</v>
      </c>
      <c r="F78" s="331" t="s">
        <v>791</v>
      </c>
      <c r="G78" s="296" t="s">
        <v>1370</v>
      </c>
      <c r="H78" s="296" t="s">
        <v>661</v>
      </c>
      <c r="I78" s="296" t="s">
        <v>2021</v>
      </c>
      <c r="J78" s="312">
        <v>7233</v>
      </c>
      <c r="K78" s="312">
        <f>0.7*J78</f>
        <v>5063.0999999999995</v>
      </c>
      <c r="L78" s="311">
        <v>2200</v>
      </c>
      <c r="M78" s="311">
        <v>2200</v>
      </c>
      <c r="N78" s="311">
        <v>2200</v>
      </c>
      <c r="O78" s="311">
        <f>N78</f>
        <v>2200</v>
      </c>
      <c r="P78" s="393">
        <f t="shared" si="14"/>
        <v>0</v>
      </c>
      <c r="Q78" s="393">
        <v>0</v>
      </c>
      <c r="R78" s="203"/>
      <c r="S78" s="317"/>
    </row>
    <row r="79" spans="1:19" s="867" customFormat="1" ht="49.5" customHeight="1">
      <c r="A79" s="316">
        <v>19</v>
      </c>
      <c r="B79" s="281" t="s">
        <v>1383</v>
      </c>
      <c r="C79" s="279" t="s">
        <v>89</v>
      </c>
      <c r="D79" s="278">
        <v>7834746</v>
      </c>
      <c r="E79" s="297" t="s">
        <v>1384</v>
      </c>
      <c r="F79" s="297" t="s">
        <v>1385</v>
      </c>
      <c r="G79" s="296" t="s">
        <v>1259</v>
      </c>
      <c r="H79" s="296" t="s">
        <v>1025</v>
      </c>
      <c r="I79" s="296" t="s">
        <v>2022</v>
      </c>
      <c r="J79" s="309">
        <v>4941</v>
      </c>
      <c r="K79" s="309">
        <f>J79</f>
        <v>4941</v>
      </c>
      <c r="L79" s="311">
        <v>1000</v>
      </c>
      <c r="M79" s="311">
        <v>1000</v>
      </c>
      <c r="N79" s="311">
        <v>1000</v>
      </c>
      <c r="O79" s="311">
        <f>N79</f>
        <v>1000</v>
      </c>
      <c r="P79" s="393">
        <f t="shared" si="14"/>
        <v>0</v>
      </c>
      <c r="Q79" s="393">
        <v>0</v>
      </c>
      <c r="R79" s="203"/>
      <c r="S79" s="313"/>
    </row>
    <row r="80" spans="1:19" s="867" customFormat="1" ht="71.099999999999994" customHeight="1">
      <c r="A80" s="316" t="s">
        <v>98</v>
      </c>
      <c r="B80" s="294" t="s">
        <v>685</v>
      </c>
      <c r="C80" s="279"/>
      <c r="D80" s="278"/>
      <c r="E80" s="297"/>
      <c r="F80" s="297"/>
      <c r="G80" s="296"/>
      <c r="H80" s="296"/>
      <c r="I80" s="296"/>
      <c r="J80" s="376">
        <f>SUM(J81:J100)</f>
        <v>136405</v>
      </c>
      <c r="K80" s="376">
        <f t="shared" ref="K80:Q80" si="16">SUM(K81:K100)</f>
        <v>109643.9</v>
      </c>
      <c r="L80" s="376">
        <f t="shared" si="16"/>
        <v>105144</v>
      </c>
      <c r="M80" s="376">
        <f t="shared" si="16"/>
        <v>78645</v>
      </c>
      <c r="N80" s="376">
        <f t="shared" si="16"/>
        <v>78288</v>
      </c>
      <c r="O80" s="376">
        <f t="shared" si="16"/>
        <v>79088</v>
      </c>
      <c r="P80" s="376">
        <f t="shared" si="16"/>
        <v>1184</v>
      </c>
      <c r="Q80" s="376">
        <f t="shared" si="16"/>
        <v>741</v>
      </c>
      <c r="R80" s="380"/>
      <c r="S80" s="313"/>
    </row>
    <row r="81" spans="1:19" s="868" customFormat="1" ht="99.95" customHeight="1">
      <c r="A81" s="316">
        <v>1</v>
      </c>
      <c r="B81" s="315" t="s">
        <v>1386</v>
      </c>
      <c r="C81" s="279" t="s">
        <v>89</v>
      </c>
      <c r="D81" s="314" t="s">
        <v>1387</v>
      </c>
      <c r="E81" s="330" t="s">
        <v>790</v>
      </c>
      <c r="F81" s="331" t="s">
        <v>1388</v>
      </c>
      <c r="G81" s="296" t="s">
        <v>2166</v>
      </c>
      <c r="H81" s="296" t="s">
        <v>661</v>
      </c>
      <c r="I81" s="296" t="s">
        <v>2023</v>
      </c>
      <c r="J81" s="312">
        <v>2689</v>
      </c>
      <c r="K81" s="312">
        <f t="shared" ref="K81:K86" si="17">J81*0.9</f>
        <v>2420.1</v>
      </c>
      <c r="L81" s="311">
        <v>2051</v>
      </c>
      <c r="M81" s="282">
        <v>2051</v>
      </c>
      <c r="N81" s="282">
        <f>1500+551</f>
        <v>2051</v>
      </c>
      <c r="O81" s="282">
        <f>N81</f>
        <v>2051</v>
      </c>
      <c r="P81" s="393">
        <f t="shared" ref="P81:P88" si="18">O81-M81</f>
        <v>0</v>
      </c>
      <c r="Q81" s="393">
        <v>0</v>
      </c>
      <c r="R81" s="298"/>
      <c r="S81" s="317"/>
    </row>
    <row r="82" spans="1:19" s="868" customFormat="1" ht="99.95" customHeight="1">
      <c r="A82" s="316">
        <v>2</v>
      </c>
      <c r="B82" s="315" t="s">
        <v>1389</v>
      </c>
      <c r="C82" s="279" t="s">
        <v>89</v>
      </c>
      <c r="D82" s="314" t="s">
        <v>1390</v>
      </c>
      <c r="E82" s="330" t="s">
        <v>790</v>
      </c>
      <c r="F82" s="331" t="s">
        <v>815</v>
      </c>
      <c r="G82" s="296" t="s">
        <v>2167</v>
      </c>
      <c r="H82" s="296" t="s">
        <v>673</v>
      </c>
      <c r="I82" s="296" t="s">
        <v>2024</v>
      </c>
      <c r="J82" s="312">
        <v>2300</v>
      </c>
      <c r="K82" s="312">
        <f t="shared" si="17"/>
        <v>2070</v>
      </c>
      <c r="L82" s="311">
        <v>1949</v>
      </c>
      <c r="M82" s="282">
        <v>1949</v>
      </c>
      <c r="N82" s="282">
        <f>1700+249</f>
        <v>1949</v>
      </c>
      <c r="O82" s="282">
        <f t="shared" ref="O82:O84" si="19">N82</f>
        <v>1949</v>
      </c>
      <c r="P82" s="393">
        <f t="shared" si="18"/>
        <v>0</v>
      </c>
      <c r="Q82" s="393">
        <v>0</v>
      </c>
      <c r="R82" s="298"/>
      <c r="S82" s="317"/>
    </row>
    <row r="83" spans="1:19" s="868" customFormat="1" ht="99.95" customHeight="1">
      <c r="A83" s="316">
        <v>3</v>
      </c>
      <c r="B83" s="315" t="s">
        <v>1391</v>
      </c>
      <c r="C83" s="279" t="s">
        <v>89</v>
      </c>
      <c r="D83" s="314" t="s">
        <v>1392</v>
      </c>
      <c r="E83" s="330" t="s">
        <v>790</v>
      </c>
      <c r="F83" s="331" t="s">
        <v>815</v>
      </c>
      <c r="G83" s="296" t="s">
        <v>1279</v>
      </c>
      <c r="H83" s="296" t="s">
        <v>673</v>
      </c>
      <c r="I83" s="296" t="s">
        <v>2025</v>
      </c>
      <c r="J83" s="312">
        <v>13964</v>
      </c>
      <c r="K83" s="312">
        <f t="shared" si="17"/>
        <v>12567.6</v>
      </c>
      <c r="L83" s="311">
        <v>12568</v>
      </c>
      <c r="M83" s="311">
        <v>6998</v>
      </c>
      <c r="N83" s="311">
        <f>3998+3000</f>
        <v>6998</v>
      </c>
      <c r="O83" s="311">
        <f t="shared" si="19"/>
        <v>6998</v>
      </c>
      <c r="P83" s="393">
        <f t="shared" si="18"/>
        <v>0</v>
      </c>
      <c r="Q83" s="393">
        <v>0</v>
      </c>
      <c r="R83" s="298"/>
      <c r="S83" s="317"/>
    </row>
    <row r="84" spans="1:19" s="868" customFormat="1" ht="99.95" customHeight="1">
      <c r="A84" s="316">
        <v>4</v>
      </c>
      <c r="B84" s="315" t="s">
        <v>1393</v>
      </c>
      <c r="C84" s="279" t="s">
        <v>89</v>
      </c>
      <c r="D84" s="314" t="s">
        <v>1394</v>
      </c>
      <c r="E84" s="330" t="s">
        <v>790</v>
      </c>
      <c r="F84" s="331" t="s">
        <v>815</v>
      </c>
      <c r="G84" s="296" t="s">
        <v>1279</v>
      </c>
      <c r="H84" s="296" t="s">
        <v>673</v>
      </c>
      <c r="I84" s="296" t="s">
        <v>1907</v>
      </c>
      <c r="J84" s="312">
        <v>5800</v>
      </c>
      <c r="K84" s="312">
        <f t="shared" si="17"/>
        <v>5220</v>
      </c>
      <c r="L84" s="311">
        <v>5150</v>
      </c>
      <c r="M84" s="311">
        <v>4150</v>
      </c>
      <c r="N84" s="311">
        <f>2500+1650</f>
        <v>4150</v>
      </c>
      <c r="O84" s="311">
        <f t="shared" si="19"/>
        <v>4150</v>
      </c>
      <c r="P84" s="393">
        <f t="shared" si="18"/>
        <v>0</v>
      </c>
      <c r="Q84" s="393">
        <v>0</v>
      </c>
      <c r="R84" s="298"/>
      <c r="S84" s="317"/>
    </row>
    <row r="85" spans="1:19" s="868" customFormat="1" ht="99.95" customHeight="1">
      <c r="A85" s="316">
        <v>5</v>
      </c>
      <c r="B85" s="315" t="s">
        <v>1395</v>
      </c>
      <c r="C85" s="279" t="s">
        <v>89</v>
      </c>
      <c r="D85" s="314" t="s">
        <v>1396</v>
      </c>
      <c r="E85" s="330" t="s">
        <v>790</v>
      </c>
      <c r="F85" s="331" t="s">
        <v>815</v>
      </c>
      <c r="G85" s="296" t="s">
        <v>1279</v>
      </c>
      <c r="H85" s="296" t="s">
        <v>673</v>
      </c>
      <c r="I85" s="296" t="s">
        <v>2026</v>
      </c>
      <c r="J85" s="312">
        <v>8231</v>
      </c>
      <c r="K85" s="312">
        <f t="shared" si="17"/>
        <v>7407.9000000000005</v>
      </c>
      <c r="L85" s="311">
        <v>4549</v>
      </c>
      <c r="M85" s="282">
        <v>4549</v>
      </c>
      <c r="N85" s="282">
        <f>2500+2049</f>
        <v>4549</v>
      </c>
      <c r="O85" s="282">
        <v>4549</v>
      </c>
      <c r="P85" s="393">
        <f t="shared" si="18"/>
        <v>0</v>
      </c>
      <c r="Q85" s="393">
        <v>0</v>
      </c>
      <c r="R85" s="298"/>
      <c r="S85" s="317"/>
    </row>
    <row r="86" spans="1:19" s="868" customFormat="1" ht="99.95" customHeight="1">
      <c r="A86" s="316">
        <v>6</v>
      </c>
      <c r="B86" s="315" t="s">
        <v>1397</v>
      </c>
      <c r="C86" s="279" t="s">
        <v>89</v>
      </c>
      <c r="D86" s="314" t="s">
        <v>1398</v>
      </c>
      <c r="E86" s="330" t="s">
        <v>790</v>
      </c>
      <c r="F86" s="331" t="s">
        <v>815</v>
      </c>
      <c r="G86" s="296" t="s">
        <v>1279</v>
      </c>
      <c r="H86" s="296" t="s">
        <v>673</v>
      </c>
      <c r="I86" s="296" t="s">
        <v>2027</v>
      </c>
      <c r="J86" s="312">
        <v>5930</v>
      </c>
      <c r="K86" s="312">
        <f t="shared" si="17"/>
        <v>5337</v>
      </c>
      <c r="L86" s="311">
        <v>5300</v>
      </c>
      <c r="M86" s="311">
        <v>5300</v>
      </c>
      <c r="N86" s="311">
        <f>2500+2800</f>
        <v>5300</v>
      </c>
      <c r="O86" s="311">
        <v>5300</v>
      </c>
      <c r="P86" s="393">
        <f t="shared" si="18"/>
        <v>0</v>
      </c>
      <c r="Q86" s="393">
        <v>0</v>
      </c>
      <c r="R86" s="298"/>
      <c r="S86" s="317"/>
    </row>
    <row r="87" spans="1:19" s="868" customFormat="1" ht="99.95" customHeight="1">
      <c r="A87" s="316">
        <v>7</v>
      </c>
      <c r="B87" s="315" t="s">
        <v>1399</v>
      </c>
      <c r="C87" s="279" t="s">
        <v>89</v>
      </c>
      <c r="D87" s="314" t="s">
        <v>1400</v>
      </c>
      <c r="E87" s="330" t="s">
        <v>790</v>
      </c>
      <c r="F87" s="331" t="s">
        <v>815</v>
      </c>
      <c r="G87" s="296" t="s">
        <v>1247</v>
      </c>
      <c r="H87" s="296" t="s">
        <v>673</v>
      </c>
      <c r="I87" s="296" t="s">
        <v>2028</v>
      </c>
      <c r="J87" s="312">
        <v>7054</v>
      </c>
      <c r="K87" s="312">
        <f>J87*0.7</f>
        <v>4937.7999999999993</v>
      </c>
      <c r="L87" s="311">
        <v>4893</v>
      </c>
      <c r="M87" s="311">
        <v>4893</v>
      </c>
      <c r="N87" s="311">
        <f>2000+2893</f>
        <v>4893</v>
      </c>
      <c r="O87" s="311">
        <v>4893</v>
      </c>
      <c r="P87" s="393">
        <f t="shared" si="18"/>
        <v>0</v>
      </c>
      <c r="Q87" s="393">
        <v>0</v>
      </c>
      <c r="R87" s="298"/>
      <c r="S87" s="317"/>
    </row>
    <row r="88" spans="1:19" s="868" customFormat="1" ht="99.95" customHeight="1">
      <c r="A88" s="316">
        <v>8</v>
      </c>
      <c r="B88" s="315" t="s">
        <v>1401</v>
      </c>
      <c r="C88" s="279" t="s">
        <v>89</v>
      </c>
      <c r="D88" s="314" t="s">
        <v>1402</v>
      </c>
      <c r="E88" s="330" t="s">
        <v>790</v>
      </c>
      <c r="F88" s="331" t="s">
        <v>815</v>
      </c>
      <c r="G88" s="296" t="s">
        <v>2168</v>
      </c>
      <c r="H88" s="296" t="s">
        <v>673</v>
      </c>
      <c r="I88" s="296" t="s">
        <v>2029</v>
      </c>
      <c r="J88" s="312">
        <v>5100</v>
      </c>
      <c r="K88" s="312">
        <f>J88*0.8</f>
        <v>4080</v>
      </c>
      <c r="L88" s="311">
        <v>4080</v>
      </c>
      <c r="M88" s="311">
        <v>4080</v>
      </c>
      <c r="N88" s="311">
        <f>2000+2080</f>
        <v>4080</v>
      </c>
      <c r="O88" s="311">
        <v>4080</v>
      </c>
      <c r="P88" s="393">
        <f t="shared" si="18"/>
        <v>0</v>
      </c>
      <c r="Q88" s="393">
        <v>0</v>
      </c>
      <c r="R88" s="298"/>
      <c r="S88" s="317"/>
    </row>
    <row r="89" spans="1:19" s="868" customFormat="1" ht="99.95" customHeight="1">
      <c r="A89" s="316">
        <v>9</v>
      </c>
      <c r="B89" s="315" t="s">
        <v>1403</v>
      </c>
      <c r="C89" s="279" t="s">
        <v>89</v>
      </c>
      <c r="D89" s="314" t="s">
        <v>1404</v>
      </c>
      <c r="E89" s="330" t="s">
        <v>790</v>
      </c>
      <c r="F89" s="331" t="s">
        <v>815</v>
      </c>
      <c r="G89" s="296" t="s">
        <v>2169</v>
      </c>
      <c r="H89" s="296" t="s">
        <v>673</v>
      </c>
      <c r="I89" s="296" t="s">
        <v>2030</v>
      </c>
      <c r="J89" s="312">
        <v>9756</v>
      </c>
      <c r="K89" s="312">
        <f>J89*0.8</f>
        <v>7804.8</v>
      </c>
      <c r="L89" s="311">
        <v>7805</v>
      </c>
      <c r="M89" s="311">
        <v>7805</v>
      </c>
      <c r="N89" s="311">
        <f>2500+2337+2770</f>
        <v>7607</v>
      </c>
      <c r="O89" s="311">
        <v>7607</v>
      </c>
      <c r="P89" s="393"/>
      <c r="Q89" s="312">
        <v>198</v>
      </c>
      <c r="R89" s="381" t="s">
        <v>2243</v>
      </c>
      <c r="S89" s="317"/>
    </row>
    <row r="90" spans="1:19" s="870" customFormat="1" ht="99.95" customHeight="1">
      <c r="A90" s="316">
        <v>10</v>
      </c>
      <c r="B90" s="281" t="s">
        <v>1405</v>
      </c>
      <c r="C90" s="278" t="s">
        <v>89</v>
      </c>
      <c r="D90" s="278">
        <v>7854923</v>
      </c>
      <c r="E90" s="330" t="s">
        <v>790</v>
      </c>
      <c r="F90" s="297" t="s">
        <v>1406</v>
      </c>
      <c r="G90" s="296" t="s">
        <v>2170</v>
      </c>
      <c r="H90" s="297" t="s">
        <v>1318</v>
      </c>
      <c r="I90" s="332" t="s">
        <v>1931</v>
      </c>
      <c r="J90" s="321">
        <v>9311</v>
      </c>
      <c r="K90" s="321">
        <f>J90*0.8</f>
        <v>7448.8</v>
      </c>
      <c r="L90" s="311">
        <v>7449</v>
      </c>
      <c r="M90" s="311">
        <v>7449</v>
      </c>
      <c r="N90" s="311">
        <v>7314</v>
      </c>
      <c r="O90" s="311">
        <f>M90-Q90</f>
        <v>7314</v>
      </c>
      <c r="P90" s="393"/>
      <c r="Q90" s="312">
        <v>135</v>
      </c>
      <c r="R90" s="381" t="s">
        <v>2243</v>
      </c>
      <c r="S90" s="333"/>
    </row>
    <row r="91" spans="1:19" s="868" customFormat="1" ht="99.95" customHeight="1">
      <c r="A91" s="316">
        <v>11</v>
      </c>
      <c r="B91" s="315" t="s">
        <v>1407</v>
      </c>
      <c r="C91" s="278" t="s">
        <v>89</v>
      </c>
      <c r="D91" s="260" t="s">
        <v>2247</v>
      </c>
      <c r="E91" s="330" t="s">
        <v>790</v>
      </c>
      <c r="F91" s="298" t="s">
        <v>1408</v>
      </c>
      <c r="G91" s="297" t="s">
        <v>2171</v>
      </c>
      <c r="H91" s="297" t="s">
        <v>1318</v>
      </c>
      <c r="I91" s="332" t="s">
        <v>2031</v>
      </c>
      <c r="J91" s="321">
        <v>5207</v>
      </c>
      <c r="K91" s="321">
        <f>J91*0.8</f>
        <v>4165.6000000000004</v>
      </c>
      <c r="L91" s="311">
        <v>4166</v>
      </c>
      <c r="M91" s="311">
        <v>4166</v>
      </c>
      <c r="N91" s="311">
        <f>1500+2463</f>
        <v>3963</v>
      </c>
      <c r="O91" s="311">
        <f>M91-Q91</f>
        <v>3963</v>
      </c>
      <c r="P91" s="393"/>
      <c r="Q91" s="312">
        <v>203</v>
      </c>
      <c r="R91" s="381" t="s">
        <v>2243</v>
      </c>
      <c r="S91" s="317"/>
    </row>
    <row r="92" spans="1:19" s="868" customFormat="1" ht="82.5" customHeight="1">
      <c r="A92" s="316">
        <v>12</v>
      </c>
      <c r="B92" s="315" t="s">
        <v>1409</v>
      </c>
      <c r="C92" s="278" t="s">
        <v>89</v>
      </c>
      <c r="D92" s="278">
        <v>7928743</v>
      </c>
      <c r="E92" s="330" t="s">
        <v>790</v>
      </c>
      <c r="F92" s="298" t="s">
        <v>1410</v>
      </c>
      <c r="G92" s="297" t="s">
        <v>2172</v>
      </c>
      <c r="H92" s="297" t="s">
        <v>1318</v>
      </c>
      <c r="I92" s="332" t="s">
        <v>1932</v>
      </c>
      <c r="J92" s="321">
        <v>14000</v>
      </c>
      <c r="K92" s="321">
        <f>J92*0.8</f>
        <v>11200</v>
      </c>
      <c r="L92" s="311">
        <v>11200</v>
      </c>
      <c r="M92" s="311">
        <v>9641</v>
      </c>
      <c r="N92" s="311">
        <f>2000+4564+4034</f>
        <v>10598</v>
      </c>
      <c r="O92" s="311">
        <v>10598</v>
      </c>
      <c r="P92" s="393">
        <f>O92-M92</f>
        <v>957</v>
      </c>
      <c r="Q92" s="312">
        <v>0</v>
      </c>
      <c r="R92" s="298" t="s">
        <v>2381</v>
      </c>
      <c r="S92" s="318">
        <f>N92-O92</f>
        <v>0</v>
      </c>
    </row>
    <row r="93" spans="1:19" s="866" customFormat="1" ht="84" customHeight="1">
      <c r="A93" s="316">
        <v>13</v>
      </c>
      <c r="B93" s="334" t="s">
        <v>1411</v>
      </c>
      <c r="C93" s="278" t="s">
        <v>89</v>
      </c>
      <c r="D93" s="463" t="s">
        <v>2248</v>
      </c>
      <c r="E93" s="279" t="s">
        <v>790</v>
      </c>
      <c r="F93" s="279" t="s">
        <v>782</v>
      </c>
      <c r="G93" s="279" t="s">
        <v>2173</v>
      </c>
      <c r="H93" s="297" t="s">
        <v>673</v>
      </c>
      <c r="I93" s="296" t="s">
        <v>2032</v>
      </c>
      <c r="J93" s="280">
        <v>10201</v>
      </c>
      <c r="K93" s="309">
        <f>J93*0.9</f>
        <v>9180.9</v>
      </c>
      <c r="L93" s="311">
        <v>8453</v>
      </c>
      <c r="M93" s="311">
        <v>8453</v>
      </c>
      <c r="N93" s="311">
        <f>2000+3000+3680</f>
        <v>8680</v>
      </c>
      <c r="O93" s="311">
        <v>8680</v>
      </c>
      <c r="P93" s="393">
        <f>O93-M93</f>
        <v>227</v>
      </c>
      <c r="Q93" s="312">
        <v>0</v>
      </c>
      <c r="R93" s="298" t="s">
        <v>2381</v>
      </c>
      <c r="S93" s="318">
        <f>N93-O93</f>
        <v>0</v>
      </c>
    </row>
    <row r="94" spans="1:19" s="866" customFormat="1" ht="84" customHeight="1">
      <c r="A94" s="316">
        <v>14</v>
      </c>
      <c r="B94" s="334" t="s">
        <v>1412</v>
      </c>
      <c r="C94" s="278" t="s">
        <v>89</v>
      </c>
      <c r="D94" s="464">
        <v>7939966</v>
      </c>
      <c r="E94" s="279" t="s">
        <v>1413</v>
      </c>
      <c r="F94" s="279" t="s">
        <v>782</v>
      </c>
      <c r="G94" s="296" t="s">
        <v>1247</v>
      </c>
      <c r="H94" s="297" t="s">
        <v>637</v>
      </c>
      <c r="I94" s="298" t="s">
        <v>2033</v>
      </c>
      <c r="J94" s="299">
        <v>2192</v>
      </c>
      <c r="K94" s="299">
        <f t="shared" ref="K94:K100" si="20">J94*0.7</f>
        <v>1534.3999999999999</v>
      </c>
      <c r="L94" s="311">
        <v>1466</v>
      </c>
      <c r="M94" s="312">
        <v>1466</v>
      </c>
      <c r="N94" s="312">
        <f>1000+466</f>
        <v>1466</v>
      </c>
      <c r="O94" s="312">
        <f>N94</f>
        <v>1466</v>
      </c>
      <c r="P94" s="393">
        <f>O94-M94</f>
        <v>0</v>
      </c>
      <c r="Q94" s="312">
        <v>0</v>
      </c>
      <c r="R94" s="298"/>
      <c r="S94" s="284"/>
    </row>
    <row r="95" spans="1:19" s="866" customFormat="1" ht="84" customHeight="1">
      <c r="A95" s="316">
        <v>15</v>
      </c>
      <c r="B95" s="334" t="s">
        <v>1414</v>
      </c>
      <c r="C95" s="278" t="s">
        <v>89</v>
      </c>
      <c r="D95" s="464">
        <v>7939967</v>
      </c>
      <c r="E95" s="279" t="s">
        <v>1413</v>
      </c>
      <c r="F95" s="279" t="s">
        <v>782</v>
      </c>
      <c r="G95" s="296" t="s">
        <v>1240</v>
      </c>
      <c r="H95" s="297" t="s">
        <v>637</v>
      </c>
      <c r="I95" s="298" t="s">
        <v>2034</v>
      </c>
      <c r="J95" s="299">
        <v>2094</v>
      </c>
      <c r="K95" s="299">
        <f t="shared" si="20"/>
        <v>1465.8</v>
      </c>
      <c r="L95" s="311">
        <v>1390</v>
      </c>
      <c r="M95" s="312">
        <v>1390</v>
      </c>
      <c r="N95" s="312">
        <f>1000+390</f>
        <v>1390</v>
      </c>
      <c r="O95" s="312">
        <f>N95</f>
        <v>1390</v>
      </c>
      <c r="P95" s="393">
        <f>O95-M95</f>
        <v>0</v>
      </c>
      <c r="Q95" s="393">
        <v>0</v>
      </c>
      <c r="R95" s="298"/>
      <c r="S95" s="284"/>
    </row>
    <row r="96" spans="1:19" s="866" customFormat="1" ht="87" customHeight="1">
      <c r="A96" s="316">
        <v>16</v>
      </c>
      <c r="B96" s="334" t="s">
        <v>1415</v>
      </c>
      <c r="C96" s="278" t="s">
        <v>89</v>
      </c>
      <c r="D96" s="464">
        <v>7939965</v>
      </c>
      <c r="E96" s="279" t="s">
        <v>1413</v>
      </c>
      <c r="F96" s="279" t="s">
        <v>782</v>
      </c>
      <c r="G96" s="296" t="s">
        <v>1247</v>
      </c>
      <c r="H96" s="297" t="s">
        <v>673</v>
      </c>
      <c r="I96" s="298" t="s">
        <v>2035</v>
      </c>
      <c r="J96" s="299">
        <v>3476</v>
      </c>
      <c r="K96" s="299">
        <f t="shared" si="20"/>
        <v>2433.1999999999998</v>
      </c>
      <c r="L96" s="311">
        <v>2305</v>
      </c>
      <c r="M96" s="312">
        <v>2305</v>
      </c>
      <c r="N96" s="312">
        <f>1000+1100</f>
        <v>2100</v>
      </c>
      <c r="O96" s="312">
        <f>M96-Q96</f>
        <v>2100</v>
      </c>
      <c r="P96" s="393"/>
      <c r="Q96" s="312">
        <v>205</v>
      </c>
      <c r="R96" s="381" t="s">
        <v>2243</v>
      </c>
      <c r="S96" s="284"/>
    </row>
    <row r="97" spans="1:19" s="871" customFormat="1" ht="72" customHeight="1">
      <c r="A97" s="316">
        <v>17</v>
      </c>
      <c r="B97" s="315" t="s">
        <v>1416</v>
      </c>
      <c r="C97" s="278" t="s">
        <v>89</v>
      </c>
      <c r="D97" s="849">
        <v>8045375</v>
      </c>
      <c r="E97" s="279" t="s">
        <v>790</v>
      </c>
      <c r="F97" s="297" t="s">
        <v>1417</v>
      </c>
      <c r="G97" s="278" t="s">
        <v>1418</v>
      </c>
      <c r="H97" s="297" t="s">
        <v>1253</v>
      </c>
      <c r="I97" s="850" t="s">
        <v>2396</v>
      </c>
      <c r="J97" s="309">
        <v>3100</v>
      </c>
      <c r="K97" s="309">
        <f t="shared" si="20"/>
        <v>2170</v>
      </c>
      <c r="L97" s="309">
        <v>2170</v>
      </c>
      <c r="M97" s="312">
        <v>500</v>
      </c>
      <c r="N97" s="312">
        <v>300</v>
      </c>
      <c r="O97" s="312">
        <v>500</v>
      </c>
      <c r="P97" s="393">
        <f>O97-M97</f>
        <v>0</v>
      </c>
      <c r="Q97" s="394"/>
      <c r="R97" s="298" t="s">
        <v>2381</v>
      </c>
      <c r="S97" s="337"/>
    </row>
    <row r="98" spans="1:19" s="337" customFormat="1" ht="73.5" customHeight="1">
      <c r="A98" s="316">
        <v>18</v>
      </c>
      <c r="B98" s="315" t="s">
        <v>1419</v>
      </c>
      <c r="C98" s="278" t="s">
        <v>89</v>
      </c>
      <c r="D98" s="849">
        <v>8024230</v>
      </c>
      <c r="E98" s="279" t="s">
        <v>790</v>
      </c>
      <c r="F98" s="297" t="s">
        <v>1385</v>
      </c>
      <c r="G98" s="278" t="s">
        <v>1420</v>
      </c>
      <c r="H98" s="297" t="s">
        <v>1253</v>
      </c>
      <c r="I98" s="850" t="s">
        <v>2397</v>
      </c>
      <c r="J98" s="309">
        <v>6000</v>
      </c>
      <c r="K98" s="309">
        <f t="shared" si="20"/>
        <v>4200</v>
      </c>
      <c r="L98" s="309">
        <v>4200</v>
      </c>
      <c r="M98" s="312">
        <v>500</v>
      </c>
      <c r="N98" s="312">
        <v>300</v>
      </c>
      <c r="O98" s="312">
        <v>500</v>
      </c>
      <c r="P98" s="394"/>
      <c r="Q98" s="394"/>
      <c r="R98" s="336"/>
    </row>
    <row r="99" spans="1:19" s="337" customFormat="1" ht="74.099999999999994" customHeight="1">
      <c r="A99" s="316">
        <v>19</v>
      </c>
      <c r="B99" s="315" t="s">
        <v>1421</v>
      </c>
      <c r="C99" s="278" t="s">
        <v>89</v>
      </c>
      <c r="D99" s="851" t="s">
        <v>2398</v>
      </c>
      <c r="E99" s="279" t="s">
        <v>790</v>
      </c>
      <c r="F99" s="297" t="s">
        <v>1422</v>
      </c>
      <c r="G99" s="278" t="s">
        <v>1423</v>
      </c>
      <c r="H99" s="297" t="s">
        <v>1253</v>
      </c>
      <c r="I99" s="850" t="s">
        <v>2399</v>
      </c>
      <c r="J99" s="309">
        <v>10000</v>
      </c>
      <c r="K99" s="309">
        <f t="shared" si="20"/>
        <v>7000</v>
      </c>
      <c r="L99" s="309">
        <v>7000</v>
      </c>
      <c r="M99" s="312">
        <v>500</v>
      </c>
      <c r="N99" s="312">
        <v>300</v>
      </c>
      <c r="O99" s="312">
        <v>500</v>
      </c>
      <c r="P99" s="394"/>
      <c r="Q99" s="394"/>
      <c r="R99" s="336"/>
    </row>
    <row r="100" spans="1:19" ht="34.5" customHeight="1">
      <c r="A100" s="316">
        <v>20</v>
      </c>
      <c r="B100" s="315" t="s">
        <v>1424</v>
      </c>
      <c r="C100" s="278" t="s">
        <v>89</v>
      </c>
      <c r="D100" s="849">
        <v>8024231</v>
      </c>
      <c r="E100" s="279" t="s">
        <v>790</v>
      </c>
      <c r="F100" s="297" t="s">
        <v>1425</v>
      </c>
      <c r="G100" s="278" t="s">
        <v>1423</v>
      </c>
      <c r="H100" s="297" t="s">
        <v>1253</v>
      </c>
      <c r="I100" s="850" t="s">
        <v>2400</v>
      </c>
      <c r="J100" s="280">
        <v>10000</v>
      </c>
      <c r="K100" s="309">
        <f t="shared" si="20"/>
        <v>7000</v>
      </c>
      <c r="L100" s="309">
        <v>7000</v>
      </c>
      <c r="M100" s="312">
        <v>500</v>
      </c>
      <c r="N100" s="312">
        <v>300</v>
      </c>
      <c r="O100" s="312">
        <v>500</v>
      </c>
      <c r="P100" s="392"/>
      <c r="Q100" s="394"/>
      <c r="R100" s="336"/>
    </row>
    <row r="101" spans="1:19" s="866" customFormat="1" ht="105.95" customHeight="1">
      <c r="A101" s="316" t="s">
        <v>932</v>
      </c>
      <c r="B101" s="339" t="s">
        <v>1845</v>
      </c>
      <c r="C101" s="278"/>
      <c r="D101" s="303"/>
      <c r="E101" s="279"/>
      <c r="F101" s="297"/>
      <c r="G101" s="278"/>
      <c r="H101" s="297"/>
      <c r="I101" s="307"/>
      <c r="J101" s="379">
        <f>SUM(J102:J106)</f>
        <v>124199.2</v>
      </c>
      <c r="K101" s="379">
        <f t="shared" ref="K101:Q101" si="21">SUM(K102:K106)</f>
        <v>124199.2</v>
      </c>
      <c r="L101" s="379">
        <f t="shared" si="21"/>
        <v>500</v>
      </c>
      <c r="M101" s="379">
        <f t="shared" si="21"/>
        <v>500</v>
      </c>
      <c r="N101" s="379">
        <f t="shared" si="21"/>
        <v>0</v>
      </c>
      <c r="O101" s="379">
        <f t="shared" si="21"/>
        <v>68</v>
      </c>
      <c r="P101" s="379">
        <f t="shared" si="21"/>
        <v>0</v>
      </c>
      <c r="Q101" s="379">
        <f t="shared" si="21"/>
        <v>432</v>
      </c>
      <c r="R101" s="852"/>
      <c r="S101" s="284"/>
    </row>
    <row r="102" spans="1:19" s="866" customFormat="1" ht="99.95" customHeight="1">
      <c r="A102" s="316">
        <v>1</v>
      </c>
      <c r="B102" s="340" t="s">
        <v>1426</v>
      </c>
      <c r="C102" s="278" t="s">
        <v>89</v>
      </c>
      <c r="D102" s="303"/>
      <c r="E102" s="330" t="s">
        <v>790</v>
      </c>
      <c r="F102" s="279" t="s">
        <v>1427</v>
      </c>
      <c r="G102" s="278" t="s">
        <v>1895</v>
      </c>
      <c r="H102" s="341" t="s">
        <v>1334</v>
      </c>
      <c r="I102" s="307"/>
      <c r="J102" s="299">
        <f>30736*0.95</f>
        <v>29199.199999999997</v>
      </c>
      <c r="K102" s="299">
        <f>J102</f>
        <v>29199.199999999997</v>
      </c>
      <c r="L102" s="300">
        <v>100</v>
      </c>
      <c r="M102" s="312">
        <v>100</v>
      </c>
      <c r="N102" s="312">
        <v>0</v>
      </c>
      <c r="O102" s="312">
        <v>20</v>
      </c>
      <c r="P102" s="392"/>
      <c r="Q102" s="392">
        <v>80</v>
      </c>
      <c r="R102" s="278" t="s">
        <v>2401</v>
      </c>
      <c r="S102" s="284"/>
    </row>
    <row r="103" spans="1:19" s="866" customFormat="1" ht="120.6" customHeight="1">
      <c r="A103" s="316">
        <v>2</v>
      </c>
      <c r="B103" s="342" t="s">
        <v>1428</v>
      </c>
      <c r="C103" s="278"/>
      <c r="D103" s="303"/>
      <c r="E103" s="330" t="s">
        <v>790</v>
      </c>
      <c r="F103" s="279" t="s">
        <v>1427</v>
      </c>
      <c r="G103" s="278" t="s">
        <v>1429</v>
      </c>
      <c r="H103" s="341" t="s">
        <v>1334</v>
      </c>
      <c r="I103" s="307"/>
      <c r="J103" s="299">
        <v>24500</v>
      </c>
      <c r="K103" s="299">
        <v>24500</v>
      </c>
      <c r="L103" s="300">
        <v>100</v>
      </c>
      <c r="M103" s="312">
        <v>100</v>
      </c>
      <c r="N103" s="312">
        <v>0</v>
      </c>
      <c r="O103" s="312">
        <v>18</v>
      </c>
      <c r="P103" s="392"/>
      <c r="Q103" s="392">
        <v>82</v>
      </c>
      <c r="R103" s="278" t="s">
        <v>2401</v>
      </c>
      <c r="S103" s="284"/>
    </row>
    <row r="104" spans="1:19" s="866" customFormat="1" ht="99.95" customHeight="1">
      <c r="A104" s="316">
        <v>3</v>
      </c>
      <c r="B104" s="342" t="s">
        <v>1430</v>
      </c>
      <c r="C104" s="278"/>
      <c r="D104" s="303"/>
      <c r="E104" s="330" t="s">
        <v>790</v>
      </c>
      <c r="F104" s="279" t="s">
        <v>1431</v>
      </c>
      <c r="G104" s="278" t="s">
        <v>1906</v>
      </c>
      <c r="H104" s="341" t="s">
        <v>1334</v>
      </c>
      <c r="I104" s="307"/>
      <c r="J104" s="299">
        <v>39000</v>
      </c>
      <c r="K104" s="299">
        <v>39000</v>
      </c>
      <c r="L104" s="300">
        <v>100</v>
      </c>
      <c r="M104" s="312">
        <v>100</v>
      </c>
      <c r="N104" s="312">
        <v>0</v>
      </c>
      <c r="O104" s="312">
        <v>10</v>
      </c>
      <c r="P104" s="392"/>
      <c r="Q104" s="392">
        <v>90</v>
      </c>
      <c r="R104" s="278" t="s">
        <v>2401</v>
      </c>
      <c r="S104" s="284"/>
    </row>
    <row r="105" spans="1:19" s="866" customFormat="1" ht="99.95" customHeight="1">
      <c r="A105" s="316">
        <v>4</v>
      </c>
      <c r="B105" s="342" t="s">
        <v>1432</v>
      </c>
      <c r="C105" s="278"/>
      <c r="D105" s="303"/>
      <c r="E105" s="330" t="s">
        <v>790</v>
      </c>
      <c r="F105" s="279" t="s">
        <v>1433</v>
      </c>
      <c r="G105" s="278" t="s">
        <v>1896</v>
      </c>
      <c r="H105" s="341" t="s">
        <v>1334</v>
      </c>
      <c r="I105" s="307"/>
      <c r="J105" s="299">
        <v>10500</v>
      </c>
      <c r="K105" s="299">
        <v>10500</v>
      </c>
      <c r="L105" s="300">
        <v>100</v>
      </c>
      <c r="M105" s="312">
        <v>100</v>
      </c>
      <c r="N105" s="312">
        <v>0</v>
      </c>
      <c r="O105" s="312">
        <v>10</v>
      </c>
      <c r="P105" s="392"/>
      <c r="Q105" s="392">
        <v>90</v>
      </c>
      <c r="R105" s="278" t="s">
        <v>2401</v>
      </c>
      <c r="S105" s="284"/>
    </row>
    <row r="106" spans="1:19" s="866" customFormat="1" ht="57.6" customHeight="1">
      <c r="A106" s="316">
        <v>5</v>
      </c>
      <c r="B106" s="342" t="s">
        <v>1434</v>
      </c>
      <c r="C106" s="278"/>
      <c r="D106" s="303"/>
      <c r="E106" s="330" t="s">
        <v>790</v>
      </c>
      <c r="F106" s="279" t="s">
        <v>1433</v>
      </c>
      <c r="G106" s="278" t="s">
        <v>1435</v>
      </c>
      <c r="H106" s="341" t="s">
        <v>1334</v>
      </c>
      <c r="I106" s="323" t="s">
        <v>2249</v>
      </c>
      <c r="J106" s="299">
        <v>21000</v>
      </c>
      <c r="K106" s="299">
        <v>21000</v>
      </c>
      <c r="L106" s="300">
        <v>100</v>
      </c>
      <c r="M106" s="312">
        <v>100</v>
      </c>
      <c r="N106" s="312">
        <v>0</v>
      </c>
      <c r="O106" s="312">
        <v>10</v>
      </c>
      <c r="P106" s="392"/>
      <c r="Q106" s="392">
        <v>90</v>
      </c>
      <c r="R106" s="278" t="s">
        <v>2401</v>
      </c>
      <c r="S106" s="284"/>
    </row>
    <row r="107" spans="1:19" s="865" customFormat="1" ht="66.599999999999994" customHeight="1">
      <c r="A107" s="839" t="s">
        <v>125</v>
      </c>
      <c r="B107" s="292" t="s">
        <v>1436</v>
      </c>
      <c r="C107" s="839"/>
      <c r="D107" s="839"/>
      <c r="E107" s="839"/>
      <c r="F107" s="839"/>
      <c r="G107" s="839"/>
      <c r="H107" s="839"/>
      <c r="I107" s="290"/>
      <c r="J107" s="291">
        <f>J108+J118</f>
        <v>354121</v>
      </c>
      <c r="K107" s="291">
        <f t="shared" ref="K107:Q107" si="22">K108+K118</f>
        <v>315200</v>
      </c>
      <c r="L107" s="291">
        <f t="shared" si="22"/>
        <v>178992</v>
      </c>
      <c r="M107" s="291">
        <f t="shared" si="22"/>
        <v>178992</v>
      </c>
      <c r="N107" s="291">
        <f t="shared" si="22"/>
        <v>85524</v>
      </c>
      <c r="O107" s="291">
        <f t="shared" si="22"/>
        <v>178992</v>
      </c>
      <c r="P107" s="291">
        <f t="shared" si="22"/>
        <v>2355</v>
      </c>
      <c r="Q107" s="291">
        <f t="shared" si="22"/>
        <v>2355</v>
      </c>
      <c r="R107" s="336"/>
      <c r="S107" s="289"/>
    </row>
    <row r="108" spans="1:19" s="865" customFormat="1" ht="99.95" customHeight="1">
      <c r="A108" s="839" t="s">
        <v>279</v>
      </c>
      <c r="B108" s="372" t="s">
        <v>1844</v>
      </c>
      <c r="C108" s="839"/>
      <c r="D108" s="839"/>
      <c r="E108" s="839"/>
      <c r="F108" s="839"/>
      <c r="G108" s="839"/>
      <c r="H108" s="839"/>
      <c r="I108" s="290"/>
      <c r="J108" s="378">
        <f>SUM(J109:J117)</f>
        <v>66714</v>
      </c>
      <c r="K108" s="378">
        <f t="shared" ref="K108:Q108" si="23">SUM(K109:K117)</f>
        <v>54480.500000000007</v>
      </c>
      <c r="L108" s="378">
        <f t="shared" si="23"/>
        <v>19179</v>
      </c>
      <c r="M108" s="378">
        <f t="shared" si="23"/>
        <v>19179</v>
      </c>
      <c r="N108" s="378">
        <f t="shared" si="23"/>
        <v>19179</v>
      </c>
      <c r="O108" s="378">
        <f t="shared" si="23"/>
        <v>19179</v>
      </c>
      <c r="P108" s="378">
        <f t="shared" si="23"/>
        <v>0</v>
      </c>
      <c r="Q108" s="378">
        <f t="shared" si="23"/>
        <v>0</v>
      </c>
      <c r="R108" s="298"/>
      <c r="S108" s="289"/>
    </row>
    <row r="109" spans="1:19" s="865" customFormat="1" ht="60.6" customHeight="1">
      <c r="A109" s="343">
        <v>1</v>
      </c>
      <c r="B109" s="344" t="s">
        <v>1437</v>
      </c>
      <c r="C109" s="279" t="s">
        <v>89</v>
      </c>
      <c r="D109" s="345" t="s">
        <v>1438</v>
      </c>
      <c r="E109" s="331" t="s">
        <v>744</v>
      </c>
      <c r="F109" s="296" t="s">
        <v>754</v>
      </c>
      <c r="G109" s="296" t="s">
        <v>1279</v>
      </c>
      <c r="H109" s="296" t="s">
        <v>661</v>
      </c>
      <c r="I109" s="346" t="s">
        <v>2036</v>
      </c>
      <c r="J109" s="347">
        <v>20488</v>
      </c>
      <c r="K109" s="347">
        <f>0.9*J109</f>
        <v>18439.2</v>
      </c>
      <c r="L109" s="311">
        <v>10626</v>
      </c>
      <c r="M109" s="311">
        <v>10626</v>
      </c>
      <c r="N109" s="311">
        <f>6000+4626</f>
        <v>10626</v>
      </c>
      <c r="O109" s="311">
        <f>N109</f>
        <v>10626</v>
      </c>
      <c r="P109" s="393">
        <v>0</v>
      </c>
      <c r="Q109" s="393">
        <v>0</v>
      </c>
      <c r="R109" s="298"/>
      <c r="S109" s="289"/>
    </row>
    <row r="110" spans="1:19" s="865" customFormat="1" ht="60.6" customHeight="1">
      <c r="A110" s="343">
        <v>2</v>
      </c>
      <c r="B110" s="348" t="s">
        <v>1439</v>
      </c>
      <c r="C110" s="279" t="s">
        <v>89</v>
      </c>
      <c r="D110" s="345" t="s">
        <v>1440</v>
      </c>
      <c r="E110" s="331" t="s">
        <v>744</v>
      </c>
      <c r="F110" s="278" t="s">
        <v>761</v>
      </c>
      <c r="G110" s="278" t="s">
        <v>2174</v>
      </c>
      <c r="H110" s="296" t="s">
        <v>661</v>
      </c>
      <c r="I110" s="316" t="s">
        <v>2037</v>
      </c>
      <c r="J110" s="312">
        <v>7717</v>
      </c>
      <c r="K110" s="312">
        <f>0.8*J110</f>
        <v>6173.6</v>
      </c>
      <c r="L110" s="311">
        <v>1682</v>
      </c>
      <c r="M110" s="311">
        <v>1682</v>
      </c>
      <c r="N110" s="311">
        <v>1682</v>
      </c>
      <c r="O110" s="311">
        <f>N110</f>
        <v>1682</v>
      </c>
      <c r="P110" s="393">
        <v>0</v>
      </c>
      <c r="Q110" s="393">
        <v>0</v>
      </c>
      <c r="R110" s="298"/>
      <c r="S110" s="289"/>
    </row>
    <row r="111" spans="1:19" s="865" customFormat="1" ht="69.95" customHeight="1">
      <c r="A111" s="343">
        <v>3</v>
      </c>
      <c r="B111" s="315" t="s">
        <v>1441</v>
      </c>
      <c r="C111" s="279" t="s">
        <v>89</v>
      </c>
      <c r="D111" s="345" t="s">
        <v>1442</v>
      </c>
      <c r="E111" s="330" t="s">
        <v>744</v>
      </c>
      <c r="F111" s="296" t="s">
        <v>754</v>
      </c>
      <c r="G111" s="278" t="s">
        <v>2174</v>
      </c>
      <c r="H111" s="296" t="s">
        <v>661</v>
      </c>
      <c r="I111" s="316" t="s">
        <v>2038</v>
      </c>
      <c r="J111" s="312">
        <v>7200</v>
      </c>
      <c r="K111" s="312">
        <f>0.8*J111</f>
        <v>5760</v>
      </c>
      <c r="L111" s="311">
        <v>536</v>
      </c>
      <c r="M111" s="311">
        <v>536</v>
      </c>
      <c r="N111" s="311">
        <v>536</v>
      </c>
      <c r="O111" s="311">
        <f>N111</f>
        <v>536</v>
      </c>
      <c r="P111" s="393">
        <v>0</v>
      </c>
      <c r="Q111" s="393">
        <v>0</v>
      </c>
      <c r="R111" s="298"/>
      <c r="S111" s="289"/>
    </row>
    <row r="112" spans="1:19" s="865" customFormat="1" ht="80.45" customHeight="1">
      <c r="A112" s="343">
        <v>4</v>
      </c>
      <c r="B112" s="315" t="s">
        <v>1443</v>
      </c>
      <c r="C112" s="279" t="s">
        <v>89</v>
      </c>
      <c r="D112" s="330" t="s">
        <v>1143</v>
      </c>
      <c r="E112" s="330" t="s">
        <v>744</v>
      </c>
      <c r="F112" s="331" t="s">
        <v>754</v>
      </c>
      <c r="G112" s="296" t="s">
        <v>1279</v>
      </c>
      <c r="H112" s="296" t="s">
        <v>661</v>
      </c>
      <c r="I112" s="296" t="s">
        <v>1144</v>
      </c>
      <c r="J112" s="312">
        <v>10957</v>
      </c>
      <c r="K112" s="312">
        <f>0.9*J112</f>
        <v>9861.3000000000011</v>
      </c>
      <c r="L112" s="311">
        <v>3354</v>
      </c>
      <c r="M112" s="311">
        <v>3354</v>
      </c>
      <c r="N112" s="311">
        <v>3354</v>
      </c>
      <c r="O112" s="311">
        <f>N112-P112</f>
        <v>3354</v>
      </c>
      <c r="P112" s="312">
        <f>N112-M112</f>
        <v>0</v>
      </c>
      <c r="Q112" s="393">
        <v>0</v>
      </c>
      <c r="R112" s="298"/>
      <c r="S112" s="289"/>
    </row>
    <row r="113" spans="1:19" s="865" customFormat="1" ht="66.599999999999994" customHeight="1">
      <c r="A113" s="343">
        <v>5</v>
      </c>
      <c r="B113" s="315" t="s">
        <v>1444</v>
      </c>
      <c r="C113" s="279" t="s">
        <v>89</v>
      </c>
      <c r="D113" s="330" t="s">
        <v>1445</v>
      </c>
      <c r="E113" s="330" t="s">
        <v>744</v>
      </c>
      <c r="F113" s="331" t="s">
        <v>754</v>
      </c>
      <c r="G113" s="296" t="s">
        <v>1240</v>
      </c>
      <c r="H113" s="296" t="s">
        <v>661</v>
      </c>
      <c r="I113" s="296" t="s">
        <v>2039</v>
      </c>
      <c r="J113" s="312">
        <v>6885</v>
      </c>
      <c r="K113" s="312">
        <f>0.7*J113</f>
        <v>4819.5</v>
      </c>
      <c r="L113" s="311">
        <v>1200</v>
      </c>
      <c r="M113" s="311">
        <v>1200</v>
      </c>
      <c r="N113" s="311">
        <v>1200</v>
      </c>
      <c r="O113" s="311">
        <f>N113</f>
        <v>1200</v>
      </c>
      <c r="P113" s="393">
        <v>0</v>
      </c>
      <c r="Q113" s="393">
        <v>0</v>
      </c>
      <c r="R113" s="298"/>
      <c r="S113" s="289"/>
    </row>
    <row r="114" spans="1:19" s="867" customFormat="1" ht="77.45" customHeight="1">
      <c r="A114" s="343">
        <v>6</v>
      </c>
      <c r="B114" s="281" t="s">
        <v>1446</v>
      </c>
      <c r="C114" s="279" t="s">
        <v>89</v>
      </c>
      <c r="D114" s="278" t="s">
        <v>1447</v>
      </c>
      <c r="E114" s="296" t="s">
        <v>1448</v>
      </c>
      <c r="F114" s="297" t="s">
        <v>809</v>
      </c>
      <c r="G114" s="296" t="s">
        <v>1259</v>
      </c>
      <c r="H114" s="296" t="s">
        <v>1025</v>
      </c>
      <c r="I114" s="296" t="s">
        <v>2040</v>
      </c>
      <c r="J114" s="311">
        <v>3200</v>
      </c>
      <c r="K114" s="311">
        <f>J114*70%</f>
        <v>2240</v>
      </c>
      <c r="L114" s="311">
        <v>410</v>
      </c>
      <c r="M114" s="311">
        <v>410</v>
      </c>
      <c r="N114" s="311">
        <v>410</v>
      </c>
      <c r="O114" s="311">
        <f>N114</f>
        <v>410</v>
      </c>
      <c r="P114" s="393">
        <v>0</v>
      </c>
      <c r="Q114" s="393">
        <v>0</v>
      </c>
      <c r="R114" s="298"/>
      <c r="S114" s="313"/>
    </row>
    <row r="115" spans="1:19" s="867" customFormat="1" ht="85.5" customHeight="1">
      <c r="A115" s="343">
        <v>7</v>
      </c>
      <c r="B115" s="281" t="s">
        <v>1449</v>
      </c>
      <c r="C115" s="279" t="s">
        <v>89</v>
      </c>
      <c r="D115" s="278" t="s">
        <v>1450</v>
      </c>
      <c r="E115" s="296" t="s">
        <v>1451</v>
      </c>
      <c r="F115" s="297" t="s">
        <v>1452</v>
      </c>
      <c r="G115" s="296" t="s">
        <v>1266</v>
      </c>
      <c r="H115" s="296" t="s">
        <v>1025</v>
      </c>
      <c r="I115" s="296" t="s">
        <v>2041</v>
      </c>
      <c r="J115" s="311">
        <v>3500</v>
      </c>
      <c r="K115" s="311">
        <f>J115*70%</f>
        <v>2450</v>
      </c>
      <c r="L115" s="311">
        <v>520</v>
      </c>
      <c r="M115" s="311">
        <v>520</v>
      </c>
      <c r="N115" s="311">
        <v>520</v>
      </c>
      <c r="O115" s="311">
        <f>N115</f>
        <v>520</v>
      </c>
      <c r="P115" s="393">
        <v>0</v>
      </c>
      <c r="Q115" s="393">
        <v>0</v>
      </c>
      <c r="R115" s="298"/>
      <c r="S115" s="313"/>
    </row>
    <row r="116" spans="1:19" s="867" customFormat="1" ht="72" customHeight="1">
      <c r="A116" s="343">
        <v>8</v>
      </c>
      <c r="B116" s="281" t="s">
        <v>1453</v>
      </c>
      <c r="C116" s="279" t="s">
        <v>89</v>
      </c>
      <c r="D116" s="278" t="s">
        <v>1454</v>
      </c>
      <c r="E116" s="296" t="s">
        <v>1455</v>
      </c>
      <c r="F116" s="297" t="s">
        <v>1456</v>
      </c>
      <c r="G116" s="296" t="s">
        <v>1266</v>
      </c>
      <c r="H116" s="296" t="s">
        <v>1025</v>
      </c>
      <c r="I116" s="296" t="s">
        <v>2042</v>
      </c>
      <c r="J116" s="311">
        <v>3800</v>
      </c>
      <c r="K116" s="311">
        <f>J116*70%</f>
        <v>2660</v>
      </c>
      <c r="L116" s="311">
        <v>111</v>
      </c>
      <c r="M116" s="311">
        <v>111</v>
      </c>
      <c r="N116" s="311">
        <v>111</v>
      </c>
      <c r="O116" s="311">
        <f>N116</f>
        <v>111</v>
      </c>
      <c r="P116" s="393">
        <v>0</v>
      </c>
      <c r="Q116" s="393">
        <v>0</v>
      </c>
      <c r="R116" s="298"/>
      <c r="S116" s="313"/>
    </row>
    <row r="117" spans="1:19" s="867" customFormat="1" ht="60.6" customHeight="1">
      <c r="A117" s="343">
        <v>9</v>
      </c>
      <c r="B117" s="281" t="s">
        <v>1457</v>
      </c>
      <c r="C117" s="279" t="s">
        <v>89</v>
      </c>
      <c r="D117" s="278" t="s">
        <v>1458</v>
      </c>
      <c r="E117" s="296" t="s">
        <v>1459</v>
      </c>
      <c r="F117" s="297" t="s">
        <v>1460</v>
      </c>
      <c r="G117" s="296" t="s">
        <v>1259</v>
      </c>
      <c r="H117" s="296" t="s">
        <v>1025</v>
      </c>
      <c r="I117" s="296" t="s">
        <v>2043</v>
      </c>
      <c r="J117" s="311">
        <v>2967</v>
      </c>
      <c r="K117" s="311">
        <f>J117*0.7</f>
        <v>2076.9</v>
      </c>
      <c r="L117" s="311">
        <v>740</v>
      </c>
      <c r="M117" s="311">
        <v>740</v>
      </c>
      <c r="N117" s="311">
        <v>740</v>
      </c>
      <c r="O117" s="311">
        <f>N117</f>
        <v>740</v>
      </c>
      <c r="P117" s="393">
        <v>0</v>
      </c>
      <c r="Q117" s="393">
        <v>0</v>
      </c>
      <c r="R117" s="298"/>
      <c r="S117" s="313"/>
    </row>
    <row r="118" spans="1:19" s="867" customFormat="1" ht="71.099999999999994" customHeight="1">
      <c r="A118" s="421" t="s">
        <v>98</v>
      </c>
      <c r="B118" s="294" t="s">
        <v>685</v>
      </c>
      <c r="C118" s="279"/>
      <c r="D118" s="278"/>
      <c r="E118" s="296"/>
      <c r="F118" s="297"/>
      <c r="G118" s="296"/>
      <c r="H118" s="296"/>
      <c r="I118" s="296"/>
      <c r="J118" s="376">
        <f>SUM(J119:J143)</f>
        <v>287407</v>
      </c>
      <c r="K118" s="376">
        <f t="shared" ref="K118:Q118" si="24">SUM(K119:K143)</f>
        <v>260719.5</v>
      </c>
      <c r="L118" s="376">
        <f t="shared" si="24"/>
        <v>159813</v>
      </c>
      <c r="M118" s="376">
        <f t="shared" si="24"/>
        <v>159813</v>
      </c>
      <c r="N118" s="376">
        <f t="shared" si="24"/>
        <v>66345</v>
      </c>
      <c r="O118" s="376">
        <f t="shared" si="24"/>
        <v>159813</v>
      </c>
      <c r="P118" s="376">
        <f t="shared" si="24"/>
        <v>2355</v>
      </c>
      <c r="Q118" s="376">
        <f t="shared" si="24"/>
        <v>2355</v>
      </c>
      <c r="R118" s="298"/>
      <c r="S118" s="313"/>
    </row>
    <row r="119" spans="1:19" s="865" customFormat="1" ht="75.599999999999994" customHeight="1">
      <c r="A119" s="343">
        <v>1</v>
      </c>
      <c r="B119" s="315" t="s">
        <v>1461</v>
      </c>
      <c r="C119" s="279" t="s">
        <v>89</v>
      </c>
      <c r="D119" s="314" t="s">
        <v>1462</v>
      </c>
      <c r="E119" s="330" t="s">
        <v>744</v>
      </c>
      <c r="F119" s="331" t="s">
        <v>1463</v>
      </c>
      <c r="G119" s="296" t="s">
        <v>2175</v>
      </c>
      <c r="H119" s="296" t="s">
        <v>661</v>
      </c>
      <c r="I119" s="296" t="s">
        <v>2044</v>
      </c>
      <c r="J119" s="312">
        <v>4704</v>
      </c>
      <c r="K119" s="312">
        <f>J119*0.9</f>
        <v>4233.6000000000004</v>
      </c>
      <c r="L119" s="311">
        <v>3900</v>
      </c>
      <c r="M119" s="311">
        <v>3900</v>
      </c>
      <c r="N119" s="311">
        <f>2500+1400</f>
        <v>3900</v>
      </c>
      <c r="O119" s="311">
        <v>3900</v>
      </c>
      <c r="P119" s="392">
        <f>O119-M119</f>
        <v>0</v>
      </c>
      <c r="Q119" s="392">
        <v>0</v>
      </c>
      <c r="R119" s="298"/>
      <c r="S119" s="289"/>
    </row>
    <row r="120" spans="1:19" s="865" customFormat="1" ht="74.45" customHeight="1">
      <c r="A120" s="343">
        <v>2</v>
      </c>
      <c r="B120" s="334" t="s">
        <v>1464</v>
      </c>
      <c r="C120" s="278" t="s">
        <v>89</v>
      </c>
      <c r="D120" s="278">
        <v>7891397</v>
      </c>
      <c r="E120" s="330" t="s">
        <v>744</v>
      </c>
      <c r="F120" s="279" t="s">
        <v>1465</v>
      </c>
      <c r="G120" s="278" t="s">
        <v>2174</v>
      </c>
      <c r="H120" s="297" t="s">
        <v>1318</v>
      </c>
      <c r="I120" s="320" t="s">
        <v>2045</v>
      </c>
      <c r="J120" s="280">
        <v>9500</v>
      </c>
      <c r="K120" s="321">
        <f>J120*0.8</f>
        <v>7600</v>
      </c>
      <c r="L120" s="311">
        <v>7600</v>
      </c>
      <c r="M120" s="311">
        <v>7600</v>
      </c>
      <c r="N120" s="311">
        <f>1500+5805</f>
        <v>7305</v>
      </c>
      <c r="O120" s="311">
        <v>7305</v>
      </c>
      <c r="P120" s="392"/>
      <c r="Q120" s="300">
        <v>295</v>
      </c>
      <c r="R120" s="297" t="s">
        <v>2243</v>
      </c>
      <c r="S120" s="289"/>
    </row>
    <row r="121" spans="1:19" s="865" customFormat="1" ht="71.099999999999994" customHeight="1">
      <c r="A121" s="343">
        <v>3</v>
      </c>
      <c r="B121" s="281" t="s">
        <v>1466</v>
      </c>
      <c r="C121" s="278" t="s">
        <v>89</v>
      </c>
      <c r="D121" s="278">
        <v>7892754</v>
      </c>
      <c r="E121" s="330" t="s">
        <v>744</v>
      </c>
      <c r="F121" s="279" t="s">
        <v>773</v>
      </c>
      <c r="G121" s="278" t="s">
        <v>2174</v>
      </c>
      <c r="H121" s="297" t="s">
        <v>1318</v>
      </c>
      <c r="I121" s="320" t="s">
        <v>1933</v>
      </c>
      <c r="J121" s="280">
        <v>9500</v>
      </c>
      <c r="K121" s="321">
        <f>J121*0.8</f>
        <v>7600</v>
      </c>
      <c r="L121" s="311">
        <v>7600</v>
      </c>
      <c r="M121" s="311">
        <v>7600</v>
      </c>
      <c r="N121" s="311">
        <f>1500+5389</f>
        <v>6889</v>
      </c>
      <c r="O121" s="311">
        <v>6889</v>
      </c>
      <c r="P121" s="392"/>
      <c r="Q121" s="300">
        <v>711</v>
      </c>
      <c r="R121" s="297" t="s">
        <v>2243</v>
      </c>
      <c r="S121" s="289"/>
    </row>
    <row r="122" spans="1:19" s="866" customFormat="1" ht="64.5" customHeight="1">
      <c r="A122" s="343">
        <v>4</v>
      </c>
      <c r="B122" s="334" t="s">
        <v>1467</v>
      </c>
      <c r="C122" s="278" t="s">
        <v>89</v>
      </c>
      <c r="D122" s="279">
        <v>7915100</v>
      </c>
      <c r="E122" s="331" t="s">
        <v>744</v>
      </c>
      <c r="F122" s="279" t="s">
        <v>1468</v>
      </c>
      <c r="G122" s="296" t="s">
        <v>1469</v>
      </c>
      <c r="H122" s="297" t="s">
        <v>673</v>
      </c>
      <c r="I122" s="320" t="s">
        <v>2046</v>
      </c>
      <c r="J122" s="280">
        <v>7500</v>
      </c>
      <c r="K122" s="309">
        <f>J122*0.7</f>
        <v>5250</v>
      </c>
      <c r="L122" s="300">
        <v>5250</v>
      </c>
      <c r="M122" s="311">
        <v>5250</v>
      </c>
      <c r="N122" s="311">
        <f>1820+3237</f>
        <v>5057</v>
      </c>
      <c r="O122" s="311">
        <v>5057</v>
      </c>
      <c r="P122" s="392"/>
      <c r="Q122" s="300">
        <v>193</v>
      </c>
      <c r="R122" s="297" t="s">
        <v>2243</v>
      </c>
      <c r="S122" s="284"/>
    </row>
    <row r="123" spans="1:19" s="866" customFormat="1" ht="67.5" customHeight="1">
      <c r="A123" s="343">
        <v>5</v>
      </c>
      <c r="B123" s="334" t="s">
        <v>1470</v>
      </c>
      <c r="C123" s="278" t="s">
        <v>89</v>
      </c>
      <c r="D123" s="464">
        <v>7949717</v>
      </c>
      <c r="E123" s="279" t="s">
        <v>1471</v>
      </c>
      <c r="F123" s="279" t="s">
        <v>1468</v>
      </c>
      <c r="G123" s="296" t="s">
        <v>1242</v>
      </c>
      <c r="H123" s="297" t="s">
        <v>637</v>
      </c>
      <c r="I123" s="298" t="s">
        <v>2047</v>
      </c>
      <c r="J123" s="280">
        <v>2780</v>
      </c>
      <c r="K123" s="309">
        <f>J123*0.3</f>
        <v>834</v>
      </c>
      <c r="L123" s="300">
        <v>800</v>
      </c>
      <c r="M123" s="282">
        <v>800</v>
      </c>
      <c r="N123" s="282">
        <v>800</v>
      </c>
      <c r="O123" s="282">
        <v>800</v>
      </c>
      <c r="P123" s="392">
        <f>O123-M123</f>
        <v>0</v>
      </c>
      <c r="Q123" s="392">
        <v>0</v>
      </c>
      <c r="R123" s="298"/>
      <c r="S123" s="284"/>
    </row>
    <row r="124" spans="1:19" s="866" customFormat="1" ht="72.599999999999994" customHeight="1">
      <c r="A124" s="343">
        <v>6</v>
      </c>
      <c r="B124" s="334" t="s">
        <v>1472</v>
      </c>
      <c r="C124" s="278" t="s">
        <v>89</v>
      </c>
      <c r="D124" s="279">
        <v>7915099</v>
      </c>
      <c r="E124" s="331" t="s">
        <v>744</v>
      </c>
      <c r="F124" s="279" t="s">
        <v>1473</v>
      </c>
      <c r="G124" s="296" t="s">
        <v>1247</v>
      </c>
      <c r="H124" s="320" t="s">
        <v>673</v>
      </c>
      <c r="I124" s="320" t="s">
        <v>2048</v>
      </c>
      <c r="J124" s="280">
        <v>7581</v>
      </c>
      <c r="K124" s="309">
        <f>J124*0.7</f>
        <v>5306.7</v>
      </c>
      <c r="L124" s="300">
        <v>5307</v>
      </c>
      <c r="M124" s="311">
        <v>5307</v>
      </c>
      <c r="N124" s="311">
        <f>1550+3418</f>
        <v>4968</v>
      </c>
      <c r="O124" s="311">
        <v>4968</v>
      </c>
      <c r="P124" s="392"/>
      <c r="Q124" s="300">
        <v>339</v>
      </c>
      <c r="R124" s="297" t="s">
        <v>2243</v>
      </c>
      <c r="S124" s="284"/>
    </row>
    <row r="125" spans="1:19" s="866" customFormat="1" ht="69.599999999999994" customHeight="1">
      <c r="A125" s="343">
        <v>7</v>
      </c>
      <c r="B125" s="334" t="s">
        <v>1474</v>
      </c>
      <c r="C125" s="278" t="s">
        <v>89</v>
      </c>
      <c r="D125" s="279">
        <v>7955826</v>
      </c>
      <c r="E125" s="279" t="s">
        <v>1475</v>
      </c>
      <c r="F125" s="279" t="s">
        <v>1473</v>
      </c>
      <c r="G125" s="296" t="s">
        <v>1242</v>
      </c>
      <c r="H125" s="279" t="s">
        <v>637</v>
      </c>
      <c r="I125" s="298" t="s">
        <v>2049</v>
      </c>
      <c r="J125" s="299">
        <v>2173</v>
      </c>
      <c r="K125" s="299">
        <f>J125*0.3</f>
        <v>651.9</v>
      </c>
      <c r="L125" s="300">
        <v>652</v>
      </c>
      <c r="M125" s="311">
        <v>652</v>
      </c>
      <c r="N125" s="311">
        <f>500+135</f>
        <v>635</v>
      </c>
      <c r="O125" s="311">
        <v>635</v>
      </c>
      <c r="P125" s="392"/>
      <c r="Q125" s="392">
        <v>17</v>
      </c>
      <c r="R125" s="297" t="s">
        <v>2243</v>
      </c>
      <c r="S125" s="284"/>
    </row>
    <row r="126" spans="1:19" s="866" customFormat="1" ht="69.95" customHeight="1">
      <c r="A126" s="343">
        <v>8</v>
      </c>
      <c r="B126" s="334" t="s">
        <v>1476</v>
      </c>
      <c r="C126" s="278" t="s">
        <v>89</v>
      </c>
      <c r="D126" s="260" t="s">
        <v>2250</v>
      </c>
      <c r="E126" s="279" t="s">
        <v>1475</v>
      </c>
      <c r="F126" s="279" t="s">
        <v>1473</v>
      </c>
      <c r="G126" s="296" t="s">
        <v>1469</v>
      </c>
      <c r="H126" s="279" t="s">
        <v>637</v>
      </c>
      <c r="I126" s="298" t="s">
        <v>2050</v>
      </c>
      <c r="J126" s="299">
        <v>1389</v>
      </c>
      <c r="K126" s="299">
        <f>J126*0.3</f>
        <v>416.7</v>
      </c>
      <c r="L126" s="300">
        <v>400</v>
      </c>
      <c r="M126" s="282">
        <v>400</v>
      </c>
      <c r="N126" s="282">
        <v>400</v>
      </c>
      <c r="O126" s="282">
        <v>400</v>
      </c>
      <c r="P126" s="392">
        <f>O126-M126</f>
        <v>0</v>
      </c>
      <c r="Q126" s="392">
        <v>0</v>
      </c>
      <c r="R126" s="298"/>
      <c r="S126" s="284"/>
    </row>
    <row r="127" spans="1:19" s="872" customFormat="1" ht="74.45" customHeight="1">
      <c r="A127" s="343">
        <v>9</v>
      </c>
      <c r="B127" s="319" t="s">
        <v>1477</v>
      </c>
      <c r="C127" s="278" t="s">
        <v>89</v>
      </c>
      <c r="D127" s="849">
        <v>8007870</v>
      </c>
      <c r="E127" s="297" t="s">
        <v>744</v>
      </c>
      <c r="F127" s="349" t="s">
        <v>1478</v>
      </c>
      <c r="G127" s="297" t="s">
        <v>1479</v>
      </c>
      <c r="H127" s="297" t="s">
        <v>1480</v>
      </c>
      <c r="I127" s="297" t="s">
        <v>2051</v>
      </c>
      <c r="J127" s="350">
        <v>2900</v>
      </c>
      <c r="K127" s="351">
        <f>J127*0.7</f>
        <v>2029.9999999999998</v>
      </c>
      <c r="L127" s="312">
        <v>2029.9999999999998</v>
      </c>
      <c r="M127" s="312">
        <v>2029.9999999999998</v>
      </c>
      <c r="N127" s="312">
        <v>2030</v>
      </c>
      <c r="O127" s="312">
        <v>2030</v>
      </c>
      <c r="P127" s="392">
        <f>O127-M127</f>
        <v>0</v>
      </c>
      <c r="Q127" s="393"/>
      <c r="R127" s="845"/>
      <c r="S127" s="431"/>
    </row>
    <row r="128" spans="1:19" s="872" customFormat="1" ht="70.5" customHeight="1">
      <c r="A128" s="343">
        <v>10</v>
      </c>
      <c r="B128" s="281" t="s">
        <v>1481</v>
      </c>
      <c r="C128" s="278" t="s">
        <v>89</v>
      </c>
      <c r="D128" s="849">
        <v>8007869</v>
      </c>
      <c r="E128" s="297" t="s">
        <v>744</v>
      </c>
      <c r="F128" s="349" t="s">
        <v>1478</v>
      </c>
      <c r="G128" s="270" t="s">
        <v>2251</v>
      </c>
      <c r="H128" s="270" t="s">
        <v>1480</v>
      </c>
      <c r="I128" s="270" t="s">
        <v>2252</v>
      </c>
      <c r="J128" s="350">
        <v>2143</v>
      </c>
      <c r="K128" s="351">
        <f>J128*0.7</f>
        <v>1500.1</v>
      </c>
      <c r="L128" s="312">
        <v>1500</v>
      </c>
      <c r="M128" s="312">
        <v>1500</v>
      </c>
      <c r="N128" s="312">
        <v>1281</v>
      </c>
      <c r="O128" s="312">
        <v>1500</v>
      </c>
      <c r="P128" s="392">
        <f>O128-M128</f>
        <v>0</v>
      </c>
      <c r="Q128" s="393">
        <v>0</v>
      </c>
      <c r="R128" s="845"/>
      <c r="S128" s="431"/>
    </row>
    <row r="129" spans="1:19" s="872" customFormat="1" ht="73.5" customHeight="1">
      <c r="A129" s="343">
        <v>11</v>
      </c>
      <c r="B129" s="319" t="s">
        <v>1482</v>
      </c>
      <c r="C129" s="278" t="s">
        <v>89</v>
      </c>
      <c r="D129" s="849">
        <v>7947172</v>
      </c>
      <c r="E129" s="297" t="s">
        <v>744</v>
      </c>
      <c r="F129" s="349" t="s">
        <v>1483</v>
      </c>
      <c r="G129" s="297" t="s">
        <v>2176</v>
      </c>
      <c r="H129" s="297" t="s">
        <v>1480</v>
      </c>
      <c r="I129" s="297" t="s">
        <v>2402</v>
      </c>
      <c r="J129" s="351">
        <v>3000</v>
      </c>
      <c r="K129" s="351">
        <f>J129*0.7</f>
        <v>2100</v>
      </c>
      <c r="L129" s="312">
        <v>2100</v>
      </c>
      <c r="M129" s="312">
        <v>2100</v>
      </c>
      <c r="N129" s="312">
        <f>1082+1018</f>
        <v>2100</v>
      </c>
      <c r="O129" s="312">
        <v>2100</v>
      </c>
      <c r="P129" s="392">
        <f>O129-M129</f>
        <v>0</v>
      </c>
      <c r="Q129" s="312">
        <v>0</v>
      </c>
      <c r="R129" s="845"/>
      <c r="S129" s="431"/>
    </row>
    <row r="130" spans="1:19" s="872" customFormat="1" ht="113.25" customHeight="1">
      <c r="A130" s="343">
        <v>12</v>
      </c>
      <c r="B130" s="319" t="s">
        <v>1485</v>
      </c>
      <c r="C130" s="278" t="s">
        <v>89</v>
      </c>
      <c r="D130" s="849">
        <v>8005873</v>
      </c>
      <c r="E130" s="297" t="s">
        <v>744</v>
      </c>
      <c r="F130" s="349" t="s">
        <v>1486</v>
      </c>
      <c r="G130" s="297" t="s">
        <v>1479</v>
      </c>
      <c r="H130" s="297" t="s">
        <v>1480</v>
      </c>
      <c r="I130" s="270" t="s">
        <v>2253</v>
      </c>
      <c r="J130" s="351">
        <v>1200</v>
      </c>
      <c r="K130" s="351">
        <f>J130*0.7</f>
        <v>840</v>
      </c>
      <c r="L130" s="312">
        <v>840</v>
      </c>
      <c r="M130" s="312">
        <v>840</v>
      </c>
      <c r="N130" s="312">
        <v>840</v>
      </c>
      <c r="O130" s="312">
        <v>840</v>
      </c>
      <c r="P130" s="392">
        <f>O130-M130</f>
        <v>0</v>
      </c>
      <c r="Q130" s="312">
        <v>0</v>
      </c>
      <c r="R130" s="845"/>
      <c r="S130" s="431"/>
    </row>
    <row r="131" spans="1:19" s="872" customFormat="1" ht="107.25" customHeight="1">
      <c r="A131" s="343">
        <v>13</v>
      </c>
      <c r="B131" s="334" t="s">
        <v>1487</v>
      </c>
      <c r="C131" s="278" t="s">
        <v>89</v>
      </c>
      <c r="D131" s="849">
        <v>8041428</v>
      </c>
      <c r="E131" s="297" t="s">
        <v>1488</v>
      </c>
      <c r="F131" s="297" t="s">
        <v>1489</v>
      </c>
      <c r="G131" s="349" t="s">
        <v>1490</v>
      </c>
      <c r="H131" s="297" t="s">
        <v>1480</v>
      </c>
      <c r="I131" s="297" t="s">
        <v>2254</v>
      </c>
      <c r="J131" s="465">
        <v>10329</v>
      </c>
      <c r="K131" s="351">
        <f>J131*0.9</f>
        <v>9296.1</v>
      </c>
      <c r="L131" s="312">
        <v>9300</v>
      </c>
      <c r="M131" s="312">
        <v>9300</v>
      </c>
      <c r="N131" s="312">
        <v>6000</v>
      </c>
      <c r="O131" s="312">
        <v>8500</v>
      </c>
      <c r="P131" s="392"/>
      <c r="Q131" s="312">
        <v>800</v>
      </c>
      <c r="R131" s="297" t="s">
        <v>2255</v>
      </c>
      <c r="S131" s="431"/>
    </row>
    <row r="132" spans="1:19" s="872" customFormat="1" ht="99.95" customHeight="1">
      <c r="A132" s="343">
        <v>14</v>
      </c>
      <c r="B132" s="334" t="s">
        <v>2155</v>
      </c>
      <c r="C132" s="278" t="s">
        <v>89</v>
      </c>
      <c r="D132" s="849">
        <v>8041427</v>
      </c>
      <c r="E132" s="297" t="s">
        <v>1488</v>
      </c>
      <c r="F132" s="297" t="s">
        <v>1491</v>
      </c>
      <c r="G132" s="349" t="s">
        <v>1492</v>
      </c>
      <c r="H132" s="297" t="s">
        <v>673</v>
      </c>
      <c r="I132" s="297" t="s">
        <v>2256</v>
      </c>
      <c r="J132" s="351">
        <v>5900</v>
      </c>
      <c r="K132" s="351">
        <f>J132*0.9</f>
        <v>5310</v>
      </c>
      <c r="L132" s="312">
        <v>5300</v>
      </c>
      <c r="M132" s="312">
        <v>5300</v>
      </c>
      <c r="N132" s="312">
        <v>5300</v>
      </c>
      <c r="O132" s="312">
        <v>5300</v>
      </c>
      <c r="P132" s="392">
        <f t="shared" ref="P132:P143" si="25">O132-M132</f>
        <v>0</v>
      </c>
      <c r="Q132" s="312">
        <v>0</v>
      </c>
      <c r="R132" s="297"/>
      <c r="S132" s="431"/>
    </row>
    <row r="133" spans="1:19" s="872" customFormat="1" ht="99.95" customHeight="1">
      <c r="A133" s="343">
        <v>15</v>
      </c>
      <c r="B133" s="281" t="s">
        <v>1493</v>
      </c>
      <c r="C133" s="278" t="s">
        <v>89</v>
      </c>
      <c r="D133" s="853" t="s">
        <v>2403</v>
      </c>
      <c r="E133" s="297" t="s">
        <v>1494</v>
      </c>
      <c r="F133" s="349" t="s">
        <v>1483</v>
      </c>
      <c r="G133" s="297" t="s">
        <v>1495</v>
      </c>
      <c r="H133" s="297" t="s">
        <v>1480</v>
      </c>
      <c r="I133" s="297" t="s">
        <v>2257</v>
      </c>
      <c r="J133" s="351">
        <v>25000</v>
      </c>
      <c r="K133" s="351">
        <v>25000</v>
      </c>
      <c r="L133" s="312">
        <v>25000</v>
      </c>
      <c r="M133" s="312">
        <v>25000</v>
      </c>
      <c r="N133" s="312">
        <f>300+4048</f>
        <v>4348</v>
      </c>
      <c r="O133" s="312">
        <v>25000</v>
      </c>
      <c r="P133" s="392">
        <f t="shared" si="25"/>
        <v>0</v>
      </c>
      <c r="Q133" s="312">
        <v>0</v>
      </c>
      <c r="R133" s="845"/>
      <c r="S133" s="431"/>
    </row>
    <row r="134" spans="1:19" s="872" customFormat="1" ht="65.45" customHeight="1">
      <c r="A134" s="343">
        <v>16</v>
      </c>
      <c r="B134" s="281" t="s">
        <v>1496</v>
      </c>
      <c r="C134" s="278" t="s">
        <v>89</v>
      </c>
      <c r="D134" s="849">
        <v>8003443</v>
      </c>
      <c r="E134" s="297" t="s">
        <v>1494</v>
      </c>
      <c r="F134" s="349" t="s">
        <v>1486</v>
      </c>
      <c r="G134" s="297" t="s">
        <v>1497</v>
      </c>
      <c r="H134" s="297" t="s">
        <v>1480</v>
      </c>
      <c r="I134" s="270" t="s">
        <v>2258</v>
      </c>
      <c r="J134" s="350">
        <v>21000</v>
      </c>
      <c r="K134" s="351">
        <f>J134</f>
        <v>21000</v>
      </c>
      <c r="L134" s="312">
        <v>21000</v>
      </c>
      <c r="M134" s="312">
        <v>21000</v>
      </c>
      <c r="N134" s="312">
        <f>300+2000</f>
        <v>2300</v>
      </c>
      <c r="O134" s="312">
        <v>21000</v>
      </c>
      <c r="P134" s="392">
        <f t="shared" si="25"/>
        <v>0</v>
      </c>
      <c r="Q134" s="393">
        <v>0</v>
      </c>
      <c r="R134" s="845"/>
      <c r="S134" s="431"/>
    </row>
    <row r="135" spans="1:19" s="872" customFormat="1" ht="69" customHeight="1">
      <c r="A135" s="343">
        <v>17</v>
      </c>
      <c r="B135" s="281" t="s">
        <v>1498</v>
      </c>
      <c r="C135" s="278" t="s">
        <v>89</v>
      </c>
      <c r="D135" s="854" t="s">
        <v>2404</v>
      </c>
      <c r="E135" s="297" t="s">
        <v>744</v>
      </c>
      <c r="F135" s="349" t="s">
        <v>1478</v>
      </c>
      <c r="G135" s="297" t="s">
        <v>1499</v>
      </c>
      <c r="H135" s="297" t="s">
        <v>1253</v>
      </c>
      <c r="I135" s="270" t="s">
        <v>2259</v>
      </c>
      <c r="J135" s="350">
        <v>30800</v>
      </c>
      <c r="K135" s="351">
        <f>J135</f>
        <v>30800</v>
      </c>
      <c r="L135" s="312">
        <v>10000</v>
      </c>
      <c r="M135" s="312">
        <v>10000</v>
      </c>
      <c r="N135" s="312">
        <v>2800</v>
      </c>
      <c r="O135" s="312">
        <v>12355</v>
      </c>
      <c r="P135" s="392">
        <f t="shared" si="25"/>
        <v>2355</v>
      </c>
      <c r="Q135" s="393">
        <v>0</v>
      </c>
      <c r="R135" s="298" t="s">
        <v>2381</v>
      </c>
      <c r="S135" s="431"/>
    </row>
    <row r="136" spans="1:19" s="873" customFormat="1" ht="75.599999999999994" customHeight="1">
      <c r="A136" s="343">
        <v>18</v>
      </c>
      <c r="B136" s="281" t="s">
        <v>1500</v>
      </c>
      <c r="C136" s="278" t="s">
        <v>89</v>
      </c>
      <c r="D136" s="279"/>
      <c r="E136" s="297" t="s">
        <v>744</v>
      </c>
      <c r="F136" s="349" t="s">
        <v>1501</v>
      </c>
      <c r="G136" s="297" t="s">
        <v>1502</v>
      </c>
      <c r="H136" s="297" t="s">
        <v>1253</v>
      </c>
      <c r="I136" s="297"/>
      <c r="J136" s="350">
        <v>15000</v>
      </c>
      <c r="K136" s="350">
        <v>15000</v>
      </c>
      <c r="L136" s="311">
        <v>5076</v>
      </c>
      <c r="M136" s="312">
        <v>5076</v>
      </c>
      <c r="N136" s="312">
        <v>0</v>
      </c>
      <c r="O136" s="312">
        <v>5076</v>
      </c>
      <c r="P136" s="392">
        <f t="shared" si="25"/>
        <v>0</v>
      </c>
      <c r="Q136" s="394"/>
      <c r="R136" s="845"/>
      <c r="S136" s="352"/>
    </row>
    <row r="137" spans="1:19" s="872" customFormat="1" ht="99.95" customHeight="1">
      <c r="A137" s="343">
        <v>19</v>
      </c>
      <c r="B137" s="281" t="s">
        <v>1503</v>
      </c>
      <c r="C137" s="278" t="s">
        <v>89</v>
      </c>
      <c r="D137" s="853" t="s">
        <v>2405</v>
      </c>
      <c r="E137" s="297" t="s">
        <v>744</v>
      </c>
      <c r="F137" s="349" t="s">
        <v>809</v>
      </c>
      <c r="G137" s="297" t="s">
        <v>1504</v>
      </c>
      <c r="H137" s="297" t="s">
        <v>1253</v>
      </c>
      <c r="I137" s="270" t="s">
        <v>2260</v>
      </c>
      <c r="J137" s="353">
        <v>14995</v>
      </c>
      <c r="K137" s="354">
        <v>11000</v>
      </c>
      <c r="L137" s="355">
        <v>11000</v>
      </c>
      <c r="M137" s="312">
        <v>11000</v>
      </c>
      <c r="N137" s="312">
        <v>6392</v>
      </c>
      <c r="O137" s="312">
        <v>11000</v>
      </c>
      <c r="P137" s="392">
        <f t="shared" si="25"/>
        <v>0</v>
      </c>
      <c r="Q137" s="396"/>
      <c r="R137" s="845"/>
      <c r="S137" s="431"/>
    </row>
    <row r="138" spans="1:19" s="866" customFormat="1" ht="99.95" customHeight="1">
      <c r="A138" s="343">
        <v>20</v>
      </c>
      <c r="B138" s="356" t="s">
        <v>1505</v>
      </c>
      <c r="C138" s="278" t="s">
        <v>89</v>
      </c>
      <c r="D138" s="303"/>
      <c r="E138" s="297" t="s">
        <v>744</v>
      </c>
      <c r="F138" s="349" t="s">
        <v>1506</v>
      </c>
      <c r="G138" s="297" t="s">
        <v>1507</v>
      </c>
      <c r="H138" s="297" t="s">
        <v>1253</v>
      </c>
      <c r="I138" s="323" t="s">
        <v>2261</v>
      </c>
      <c r="J138" s="299">
        <v>21000</v>
      </c>
      <c r="K138" s="299">
        <f>+J138</f>
        <v>21000</v>
      </c>
      <c r="L138" s="300">
        <v>10000</v>
      </c>
      <c r="M138" s="312">
        <v>10000</v>
      </c>
      <c r="N138" s="312">
        <v>0</v>
      </c>
      <c r="O138" s="312">
        <f t="shared" ref="O138:O143" si="26">M138</f>
        <v>10000</v>
      </c>
      <c r="P138" s="392">
        <f t="shared" si="25"/>
        <v>0</v>
      </c>
      <c r="Q138" s="392"/>
      <c r="R138" s="845"/>
      <c r="S138" s="284"/>
    </row>
    <row r="139" spans="1:19" s="873" customFormat="1" ht="81.95" customHeight="1">
      <c r="A139" s="343">
        <v>21</v>
      </c>
      <c r="B139" s="281" t="s">
        <v>1508</v>
      </c>
      <c r="C139" s="278" t="s">
        <v>89</v>
      </c>
      <c r="D139" s="849">
        <v>8071452</v>
      </c>
      <c r="E139" s="297" t="s">
        <v>744</v>
      </c>
      <c r="F139" s="349" t="s">
        <v>1509</v>
      </c>
      <c r="G139" s="297" t="s">
        <v>1510</v>
      </c>
      <c r="H139" s="297" t="s">
        <v>1253</v>
      </c>
      <c r="I139" s="270" t="s">
        <v>2406</v>
      </c>
      <c r="J139" s="354">
        <v>28000</v>
      </c>
      <c r="K139" s="354">
        <f>J139</f>
        <v>28000</v>
      </c>
      <c r="L139" s="354">
        <v>7000</v>
      </c>
      <c r="M139" s="312">
        <v>7000</v>
      </c>
      <c r="N139" s="312">
        <v>3000</v>
      </c>
      <c r="O139" s="312">
        <v>7000</v>
      </c>
      <c r="P139" s="392">
        <f t="shared" si="25"/>
        <v>0</v>
      </c>
      <c r="Q139" s="396"/>
      <c r="R139" s="845"/>
      <c r="S139" s="352"/>
    </row>
    <row r="140" spans="1:19" s="873" customFormat="1" ht="99.95" customHeight="1">
      <c r="A140" s="343">
        <v>22</v>
      </c>
      <c r="B140" s="281" t="s">
        <v>1511</v>
      </c>
      <c r="C140" s="278" t="s">
        <v>89</v>
      </c>
      <c r="D140" s="279"/>
      <c r="E140" s="297" t="s">
        <v>744</v>
      </c>
      <c r="F140" s="297" t="s">
        <v>1512</v>
      </c>
      <c r="G140" s="297" t="s">
        <v>1513</v>
      </c>
      <c r="H140" s="297" t="s">
        <v>1253</v>
      </c>
      <c r="I140" s="297"/>
      <c r="J140" s="353">
        <v>29000</v>
      </c>
      <c r="K140" s="354">
        <v>29000</v>
      </c>
      <c r="L140" s="357">
        <v>7000</v>
      </c>
      <c r="M140" s="312">
        <v>7000</v>
      </c>
      <c r="N140" s="312">
        <v>0</v>
      </c>
      <c r="O140" s="312">
        <f t="shared" si="26"/>
        <v>7000</v>
      </c>
      <c r="P140" s="392">
        <f t="shared" si="25"/>
        <v>0</v>
      </c>
      <c r="Q140" s="396"/>
      <c r="R140" s="845"/>
      <c r="S140" s="352"/>
    </row>
    <row r="141" spans="1:19" s="866" customFormat="1" ht="63.6" customHeight="1">
      <c r="A141" s="343">
        <v>23</v>
      </c>
      <c r="B141" s="356" t="s">
        <v>1514</v>
      </c>
      <c r="C141" s="278" t="s">
        <v>89</v>
      </c>
      <c r="D141" s="303"/>
      <c r="E141" s="297" t="s">
        <v>744</v>
      </c>
      <c r="F141" s="349" t="s">
        <v>1515</v>
      </c>
      <c r="G141" s="297" t="s">
        <v>1516</v>
      </c>
      <c r="H141" s="297" t="s">
        <v>1253</v>
      </c>
      <c r="I141" s="307"/>
      <c r="J141" s="358">
        <v>16000</v>
      </c>
      <c r="K141" s="358">
        <v>16000</v>
      </c>
      <c r="L141" s="358">
        <v>6158</v>
      </c>
      <c r="M141" s="312">
        <v>6158</v>
      </c>
      <c r="N141" s="312">
        <v>0</v>
      </c>
      <c r="O141" s="312">
        <f t="shared" si="26"/>
        <v>6158</v>
      </c>
      <c r="P141" s="392">
        <f t="shared" si="25"/>
        <v>0</v>
      </c>
      <c r="Q141" s="397"/>
      <c r="R141" s="845"/>
      <c r="S141" s="284"/>
    </row>
    <row r="142" spans="1:19" s="866" customFormat="1" ht="70.5" customHeight="1">
      <c r="A142" s="343">
        <v>24</v>
      </c>
      <c r="B142" s="334" t="s">
        <v>1517</v>
      </c>
      <c r="C142" s="303"/>
      <c r="D142" s="303"/>
      <c r="E142" s="297" t="s">
        <v>744</v>
      </c>
      <c r="F142" s="297" t="s">
        <v>750</v>
      </c>
      <c r="G142" s="297" t="s">
        <v>1518</v>
      </c>
      <c r="H142" s="297" t="s">
        <v>1253</v>
      </c>
      <c r="I142" s="323" t="s">
        <v>2262</v>
      </c>
      <c r="J142" s="359">
        <v>9813</v>
      </c>
      <c r="K142" s="328">
        <f>J142*0.8</f>
        <v>7850.4000000000005</v>
      </c>
      <c r="L142" s="355">
        <v>3000</v>
      </c>
      <c r="M142" s="312">
        <v>3000</v>
      </c>
      <c r="N142" s="312">
        <v>0</v>
      </c>
      <c r="O142" s="312">
        <f t="shared" si="26"/>
        <v>3000</v>
      </c>
      <c r="P142" s="392">
        <f t="shared" si="25"/>
        <v>0</v>
      </c>
      <c r="Q142" s="398"/>
      <c r="R142" s="297"/>
      <c r="S142" s="284"/>
    </row>
    <row r="143" spans="1:19" s="866" customFormat="1" ht="48" customHeight="1">
      <c r="A143" s="343">
        <v>25</v>
      </c>
      <c r="B143" s="334" t="s">
        <v>1519</v>
      </c>
      <c r="C143" s="303"/>
      <c r="D143" s="303"/>
      <c r="E143" s="297" t="s">
        <v>744</v>
      </c>
      <c r="F143" s="297" t="s">
        <v>750</v>
      </c>
      <c r="G143" s="203" t="s">
        <v>1259</v>
      </c>
      <c r="H143" s="297" t="s">
        <v>1253</v>
      </c>
      <c r="I143" s="307"/>
      <c r="J143" s="359">
        <v>6200</v>
      </c>
      <c r="K143" s="359">
        <f>J143*0.5</f>
        <v>3100</v>
      </c>
      <c r="L143" s="355">
        <v>2000</v>
      </c>
      <c r="M143" s="312">
        <v>2000</v>
      </c>
      <c r="N143" s="312">
        <v>0</v>
      </c>
      <c r="O143" s="312">
        <f t="shared" si="26"/>
        <v>2000</v>
      </c>
      <c r="P143" s="392">
        <f t="shared" si="25"/>
        <v>0</v>
      </c>
      <c r="Q143" s="392"/>
      <c r="R143" s="303"/>
      <c r="S143" s="284"/>
    </row>
    <row r="144" spans="1:19" s="865" customFormat="1" ht="59.45" customHeight="1">
      <c r="A144" s="839" t="s">
        <v>133</v>
      </c>
      <c r="B144" s="292" t="s">
        <v>1520</v>
      </c>
      <c r="C144" s="839"/>
      <c r="D144" s="839"/>
      <c r="E144" s="839"/>
      <c r="F144" s="839"/>
      <c r="G144" s="839"/>
      <c r="H144" s="839"/>
      <c r="I144" s="290"/>
      <c r="J144" s="291">
        <f>J145+J161+J187</f>
        <v>898068</v>
      </c>
      <c r="K144" s="291">
        <f t="shared" ref="K144:Q144" si="27">K145+K161+K187</f>
        <v>834214</v>
      </c>
      <c r="L144" s="291">
        <f t="shared" si="27"/>
        <v>196416</v>
      </c>
      <c r="M144" s="291">
        <f t="shared" si="27"/>
        <v>196416</v>
      </c>
      <c r="N144" s="291">
        <f t="shared" si="27"/>
        <v>193296</v>
      </c>
      <c r="O144" s="291">
        <f t="shared" si="27"/>
        <v>196416</v>
      </c>
      <c r="P144" s="291">
        <f t="shared" si="27"/>
        <v>500</v>
      </c>
      <c r="Q144" s="291">
        <f t="shared" si="27"/>
        <v>500</v>
      </c>
      <c r="R144" s="336"/>
      <c r="S144" s="289"/>
    </row>
    <row r="145" spans="1:19" s="865" customFormat="1" ht="134.25" customHeight="1">
      <c r="A145" s="839" t="s">
        <v>279</v>
      </c>
      <c r="B145" s="372" t="s">
        <v>1844</v>
      </c>
      <c r="C145" s="839"/>
      <c r="D145" s="839"/>
      <c r="E145" s="839"/>
      <c r="F145" s="839"/>
      <c r="G145" s="839"/>
      <c r="H145" s="839"/>
      <c r="I145" s="290"/>
      <c r="J145" s="378">
        <f>SUM(J146:J160)</f>
        <v>70077</v>
      </c>
      <c r="K145" s="378">
        <f t="shared" ref="K145:Q145" si="28">SUM(K146:K160)</f>
        <v>58570.19999999999</v>
      </c>
      <c r="L145" s="378">
        <f t="shared" si="28"/>
        <v>18808</v>
      </c>
      <c r="M145" s="378">
        <f t="shared" si="28"/>
        <v>18808</v>
      </c>
      <c r="N145" s="378">
        <f t="shared" si="28"/>
        <v>18808</v>
      </c>
      <c r="O145" s="378">
        <f t="shared" si="28"/>
        <v>18808</v>
      </c>
      <c r="P145" s="378">
        <f t="shared" si="28"/>
        <v>0</v>
      </c>
      <c r="Q145" s="378">
        <f t="shared" si="28"/>
        <v>0</v>
      </c>
      <c r="R145" s="298"/>
      <c r="S145" s="289"/>
    </row>
    <row r="146" spans="1:19" s="874" customFormat="1" ht="104.25" customHeight="1">
      <c r="A146" s="360">
        <v>1</v>
      </c>
      <c r="B146" s="283" t="s">
        <v>1521</v>
      </c>
      <c r="C146" s="279" t="s">
        <v>89</v>
      </c>
      <c r="D146" s="314" t="s">
        <v>1522</v>
      </c>
      <c r="E146" s="279" t="s">
        <v>860</v>
      </c>
      <c r="F146" s="279" t="s">
        <v>877</v>
      </c>
      <c r="G146" s="279" t="s">
        <v>2177</v>
      </c>
      <c r="H146" s="297" t="s">
        <v>661</v>
      </c>
      <c r="I146" s="297" t="s">
        <v>2052</v>
      </c>
      <c r="J146" s="280">
        <v>7445</v>
      </c>
      <c r="K146" s="280">
        <f>0.8*J146</f>
        <v>5956</v>
      </c>
      <c r="L146" s="311">
        <v>2570</v>
      </c>
      <c r="M146" s="282">
        <v>2570</v>
      </c>
      <c r="N146" s="282">
        <f>1417+1153</f>
        <v>2570</v>
      </c>
      <c r="O146" s="282">
        <v>2570</v>
      </c>
      <c r="P146" s="312">
        <f t="shared" ref="P146:P160" si="29">O146-M146</f>
        <v>0</v>
      </c>
      <c r="Q146" s="312">
        <v>0</v>
      </c>
      <c r="R146" s="298"/>
      <c r="S146" s="361"/>
    </row>
    <row r="147" spans="1:19" s="868" customFormat="1" ht="74.45" customHeight="1">
      <c r="A147" s="360">
        <v>2</v>
      </c>
      <c r="B147" s="283" t="s">
        <v>1523</v>
      </c>
      <c r="C147" s="279" t="s">
        <v>89</v>
      </c>
      <c r="D147" s="314" t="s">
        <v>1098</v>
      </c>
      <c r="E147" s="279" t="s">
        <v>860</v>
      </c>
      <c r="F147" s="279" t="s">
        <v>869</v>
      </c>
      <c r="G147" s="279" t="s">
        <v>2178</v>
      </c>
      <c r="H147" s="297" t="s">
        <v>661</v>
      </c>
      <c r="I147" s="297" t="s">
        <v>2053</v>
      </c>
      <c r="J147" s="280">
        <v>6600</v>
      </c>
      <c r="K147" s="280">
        <f>0.8*J147</f>
        <v>5280</v>
      </c>
      <c r="L147" s="311">
        <v>2129</v>
      </c>
      <c r="M147" s="311">
        <v>2129</v>
      </c>
      <c r="N147" s="311">
        <v>2129</v>
      </c>
      <c r="O147" s="311">
        <v>2129</v>
      </c>
      <c r="P147" s="312">
        <f t="shared" si="29"/>
        <v>0</v>
      </c>
      <c r="Q147" s="312">
        <v>0</v>
      </c>
      <c r="R147" s="298"/>
      <c r="S147" s="317"/>
    </row>
    <row r="148" spans="1:19" s="868" customFormat="1" ht="72.95" customHeight="1">
      <c r="A148" s="360">
        <v>3</v>
      </c>
      <c r="B148" s="315" t="s">
        <v>1524</v>
      </c>
      <c r="C148" s="279" t="s">
        <v>89</v>
      </c>
      <c r="D148" s="330" t="s">
        <v>1525</v>
      </c>
      <c r="E148" s="330" t="s">
        <v>860</v>
      </c>
      <c r="F148" s="331" t="s">
        <v>869</v>
      </c>
      <c r="G148" s="296" t="s">
        <v>1279</v>
      </c>
      <c r="H148" s="296" t="s">
        <v>661</v>
      </c>
      <c r="I148" s="296" t="s">
        <v>2054</v>
      </c>
      <c r="J148" s="312">
        <v>6900</v>
      </c>
      <c r="K148" s="312">
        <f>0.9*J148</f>
        <v>6210</v>
      </c>
      <c r="L148" s="311">
        <v>3013</v>
      </c>
      <c r="M148" s="311">
        <v>3013</v>
      </c>
      <c r="N148" s="311">
        <v>3013</v>
      </c>
      <c r="O148" s="311">
        <v>3013</v>
      </c>
      <c r="P148" s="312">
        <f t="shared" si="29"/>
        <v>0</v>
      </c>
      <c r="Q148" s="312">
        <v>0</v>
      </c>
      <c r="R148" s="298"/>
      <c r="S148" s="317"/>
    </row>
    <row r="149" spans="1:19" s="868" customFormat="1" ht="74.45" customHeight="1">
      <c r="A149" s="360">
        <v>4</v>
      </c>
      <c r="B149" s="315" t="s">
        <v>1526</v>
      </c>
      <c r="C149" s="279" t="s">
        <v>89</v>
      </c>
      <c r="D149" s="330" t="s">
        <v>1124</v>
      </c>
      <c r="E149" s="330" t="s">
        <v>860</v>
      </c>
      <c r="F149" s="331" t="s">
        <v>869</v>
      </c>
      <c r="G149" s="296" t="s">
        <v>1279</v>
      </c>
      <c r="H149" s="296" t="s">
        <v>661</v>
      </c>
      <c r="I149" s="296" t="s">
        <v>2055</v>
      </c>
      <c r="J149" s="312">
        <v>4559</v>
      </c>
      <c r="K149" s="312">
        <f>0.9*J149</f>
        <v>4103.1000000000004</v>
      </c>
      <c r="L149" s="311">
        <v>1425</v>
      </c>
      <c r="M149" s="311">
        <v>1425</v>
      </c>
      <c r="N149" s="311">
        <v>1425</v>
      </c>
      <c r="O149" s="311">
        <f>N149</f>
        <v>1425</v>
      </c>
      <c r="P149" s="312">
        <f t="shared" si="29"/>
        <v>0</v>
      </c>
      <c r="Q149" s="312">
        <v>0</v>
      </c>
      <c r="R149" s="298"/>
      <c r="S149" s="317"/>
    </row>
    <row r="150" spans="1:19" s="868" customFormat="1" ht="73.5" customHeight="1">
      <c r="A150" s="360">
        <v>5</v>
      </c>
      <c r="B150" s="315" t="s">
        <v>1527</v>
      </c>
      <c r="C150" s="279" t="s">
        <v>89</v>
      </c>
      <c r="D150" s="330" t="s">
        <v>1528</v>
      </c>
      <c r="E150" s="330" t="s">
        <v>860</v>
      </c>
      <c r="F150" s="331" t="s">
        <v>869</v>
      </c>
      <c r="G150" s="296" t="s">
        <v>2179</v>
      </c>
      <c r="H150" s="296" t="s">
        <v>661</v>
      </c>
      <c r="I150" s="296" t="s">
        <v>2056</v>
      </c>
      <c r="J150" s="312">
        <v>2500</v>
      </c>
      <c r="K150" s="312">
        <f>0.7*J150</f>
        <v>1750</v>
      </c>
      <c r="L150" s="311">
        <v>204</v>
      </c>
      <c r="M150" s="311">
        <v>204</v>
      </c>
      <c r="N150" s="311">
        <v>204</v>
      </c>
      <c r="O150" s="311">
        <f>N150</f>
        <v>204</v>
      </c>
      <c r="P150" s="312">
        <f t="shared" si="29"/>
        <v>0</v>
      </c>
      <c r="Q150" s="312">
        <v>0</v>
      </c>
      <c r="R150" s="298"/>
      <c r="S150" s="317"/>
    </row>
    <row r="151" spans="1:19" s="868" customFormat="1" ht="74.45" customHeight="1">
      <c r="A151" s="360">
        <v>6</v>
      </c>
      <c r="B151" s="315" t="s">
        <v>1529</v>
      </c>
      <c r="C151" s="279" t="s">
        <v>89</v>
      </c>
      <c r="D151" s="330" t="s">
        <v>1530</v>
      </c>
      <c r="E151" s="330" t="s">
        <v>860</v>
      </c>
      <c r="F151" s="331" t="s">
        <v>869</v>
      </c>
      <c r="G151" s="296" t="s">
        <v>1247</v>
      </c>
      <c r="H151" s="296" t="s">
        <v>661</v>
      </c>
      <c r="I151" s="296" t="s">
        <v>2057</v>
      </c>
      <c r="J151" s="312">
        <v>7023</v>
      </c>
      <c r="K151" s="312">
        <f>0.7*J151</f>
        <v>4916.0999999999995</v>
      </c>
      <c r="L151" s="311">
        <v>776</v>
      </c>
      <c r="M151" s="311">
        <v>776</v>
      </c>
      <c r="N151" s="311">
        <v>776</v>
      </c>
      <c r="O151" s="311">
        <f>N151</f>
        <v>776</v>
      </c>
      <c r="P151" s="312">
        <f t="shared" si="29"/>
        <v>0</v>
      </c>
      <c r="Q151" s="312">
        <v>0</v>
      </c>
      <c r="R151" s="298"/>
      <c r="S151" s="317"/>
    </row>
    <row r="152" spans="1:19" s="868" customFormat="1" ht="72.599999999999994" customHeight="1">
      <c r="A152" s="360">
        <v>7</v>
      </c>
      <c r="B152" s="315" t="s">
        <v>1531</v>
      </c>
      <c r="C152" s="279" t="s">
        <v>89</v>
      </c>
      <c r="D152" s="330" t="s">
        <v>1532</v>
      </c>
      <c r="E152" s="330" t="s">
        <v>860</v>
      </c>
      <c r="F152" s="331" t="s">
        <v>877</v>
      </c>
      <c r="G152" s="296" t="s">
        <v>1279</v>
      </c>
      <c r="H152" s="296" t="s">
        <v>661</v>
      </c>
      <c r="I152" s="296" t="s">
        <v>2058</v>
      </c>
      <c r="J152" s="312">
        <v>5549</v>
      </c>
      <c r="K152" s="312">
        <f>0.9*J152</f>
        <v>4994.1000000000004</v>
      </c>
      <c r="L152" s="311">
        <v>857</v>
      </c>
      <c r="M152" s="311">
        <v>857</v>
      </c>
      <c r="N152" s="311">
        <v>857</v>
      </c>
      <c r="O152" s="311">
        <v>857</v>
      </c>
      <c r="P152" s="312">
        <f t="shared" si="29"/>
        <v>0</v>
      </c>
      <c r="Q152" s="312">
        <v>0</v>
      </c>
      <c r="R152" s="298"/>
      <c r="S152" s="317"/>
    </row>
    <row r="153" spans="1:19" s="868" customFormat="1" ht="77.099999999999994" customHeight="1">
      <c r="A153" s="360">
        <v>8</v>
      </c>
      <c r="B153" s="315" t="s">
        <v>1533</v>
      </c>
      <c r="C153" s="279" t="s">
        <v>89</v>
      </c>
      <c r="D153" s="330" t="s">
        <v>1038</v>
      </c>
      <c r="E153" s="330" t="s">
        <v>860</v>
      </c>
      <c r="F153" s="331" t="s">
        <v>877</v>
      </c>
      <c r="G153" s="296" t="s">
        <v>1247</v>
      </c>
      <c r="H153" s="296" t="s">
        <v>661</v>
      </c>
      <c r="I153" s="296" t="s">
        <v>2059</v>
      </c>
      <c r="J153" s="312">
        <v>10594</v>
      </c>
      <c r="K153" s="312">
        <f>0.9*J153</f>
        <v>9534.6</v>
      </c>
      <c r="L153" s="311">
        <v>2451</v>
      </c>
      <c r="M153" s="311">
        <v>2451</v>
      </c>
      <c r="N153" s="311">
        <v>2451</v>
      </c>
      <c r="O153" s="311">
        <f>N153</f>
        <v>2451</v>
      </c>
      <c r="P153" s="312">
        <f t="shared" si="29"/>
        <v>0</v>
      </c>
      <c r="Q153" s="393">
        <v>0</v>
      </c>
      <c r="R153" s="298"/>
      <c r="S153" s="317"/>
    </row>
    <row r="154" spans="1:19" s="868" customFormat="1" ht="83.45" customHeight="1">
      <c r="A154" s="360">
        <v>9</v>
      </c>
      <c r="B154" s="315" t="s">
        <v>1534</v>
      </c>
      <c r="C154" s="279" t="s">
        <v>89</v>
      </c>
      <c r="D154" s="330" t="s">
        <v>1535</v>
      </c>
      <c r="E154" s="330" t="s">
        <v>860</v>
      </c>
      <c r="F154" s="331" t="s">
        <v>877</v>
      </c>
      <c r="G154" s="296" t="s">
        <v>1279</v>
      </c>
      <c r="H154" s="296" t="s">
        <v>661</v>
      </c>
      <c r="I154" s="296" t="s">
        <v>2060</v>
      </c>
      <c r="J154" s="312">
        <v>2723</v>
      </c>
      <c r="K154" s="312">
        <f>0.9*J154</f>
        <v>2450.7000000000003</v>
      </c>
      <c r="L154" s="311">
        <v>369</v>
      </c>
      <c r="M154" s="311">
        <v>369</v>
      </c>
      <c r="N154" s="311">
        <v>369</v>
      </c>
      <c r="O154" s="311">
        <v>369</v>
      </c>
      <c r="P154" s="312">
        <f t="shared" si="29"/>
        <v>0</v>
      </c>
      <c r="Q154" s="393">
        <v>0</v>
      </c>
      <c r="R154" s="298"/>
      <c r="S154" s="317"/>
    </row>
    <row r="155" spans="1:19" s="868" customFormat="1" ht="131.25" customHeight="1">
      <c r="A155" s="360">
        <v>10</v>
      </c>
      <c r="B155" s="315" t="s">
        <v>1536</v>
      </c>
      <c r="C155" s="279" t="s">
        <v>89</v>
      </c>
      <c r="D155" s="330" t="s">
        <v>1033</v>
      </c>
      <c r="E155" s="330" t="s">
        <v>860</v>
      </c>
      <c r="F155" s="331" t="s">
        <v>877</v>
      </c>
      <c r="G155" s="296" t="s">
        <v>2180</v>
      </c>
      <c r="H155" s="296" t="s">
        <v>661</v>
      </c>
      <c r="I155" s="296" t="s">
        <v>2061</v>
      </c>
      <c r="J155" s="312">
        <v>3300</v>
      </c>
      <c r="K155" s="312">
        <f>0.8*J155</f>
        <v>2640</v>
      </c>
      <c r="L155" s="311">
        <v>1158</v>
      </c>
      <c r="M155" s="311">
        <v>1158</v>
      </c>
      <c r="N155" s="311">
        <v>1158</v>
      </c>
      <c r="O155" s="311">
        <f t="shared" ref="O155:O160" si="30">N155</f>
        <v>1158</v>
      </c>
      <c r="P155" s="312">
        <f t="shared" si="29"/>
        <v>0</v>
      </c>
      <c r="Q155" s="393">
        <v>0</v>
      </c>
      <c r="R155" s="298"/>
      <c r="S155" s="317"/>
    </row>
    <row r="156" spans="1:19" s="867" customFormat="1" ht="60.6" customHeight="1">
      <c r="A156" s="360">
        <v>11</v>
      </c>
      <c r="B156" s="362" t="s">
        <v>1557</v>
      </c>
      <c r="C156" s="279" t="s">
        <v>89</v>
      </c>
      <c r="D156" s="278">
        <v>7834992</v>
      </c>
      <c r="E156" s="297" t="s">
        <v>1558</v>
      </c>
      <c r="F156" s="297" t="s">
        <v>1549</v>
      </c>
      <c r="G156" s="296" t="s">
        <v>1259</v>
      </c>
      <c r="H156" s="296" t="s">
        <v>1025</v>
      </c>
      <c r="I156" s="296" t="s">
        <v>2062</v>
      </c>
      <c r="J156" s="309">
        <v>1887</v>
      </c>
      <c r="K156" s="311">
        <f>J156</f>
        <v>1887</v>
      </c>
      <c r="L156" s="311">
        <v>1039</v>
      </c>
      <c r="M156" s="311">
        <v>1039</v>
      </c>
      <c r="N156" s="311">
        <v>1039</v>
      </c>
      <c r="O156" s="311">
        <f t="shared" si="30"/>
        <v>1039</v>
      </c>
      <c r="P156" s="312">
        <f t="shared" si="29"/>
        <v>0</v>
      </c>
      <c r="Q156" s="393">
        <v>0</v>
      </c>
      <c r="R156" s="298"/>
      <c r="S156" s="313"/>
    </row>
    <row r="157" spans="1:19" s="867" customFormat="1" ht="80.099999999999994" customHeight="1">
      <c r="A157" s="360">
        <v>12</v>
      </c>
      <c r="B157" s="362" t="s">
        <v>1559</v>
      </c>
      <c r="C157" s="279" t="s">
        <v>89</v>
      </c>
      <c r="D157" s="343" t="s">
        <v>1560</v>
      </c>
      <c r="E157" s="297" t="s">
        <v>1561</v>
      </c>
      <c r="F157" s="297" t="s">
        <v>1562</v>
      </c>
      <c r="G157" s="296" t="s">
        <v>1259</v>
      </c>
      <c r="H157" s="296" t="s">
        <v>1025</v>
      </c>
      <c r="I157" s="296" t="s">
        <v>1934</v>
      </c>
      <c r="J157" s="309">
        <v>1575</v>
      </c>
      <c r="K157" s="311">
        <v>1575</v>
      </c>
      <c r="L157" s="311">
        <v>794</v>
      </c>
      <c r="M157" s="311">
        <v>794</v>
      </c>
      <c r="N157" s="311">
        <v>794</v>
      </c>
      <c r="O157" s="311">
        <f t="shared" si="30"/>
        <v>794</v>
      </c>
      <c r="P157" s="312">
        <f t="shared" si="29"/>
        <v>0</v>
      </c>
      <c r="Q157" s="393">
        <v>0</v>
      </c>
      <c r="R157" s="298"/>
      <c r="S157" s="313"/>
    </row>
    <row r="158" spans="1:19" s="867" customFormat="1" ht="93.6" customHeight="1">
      <c r="A158" s="360">
        <v>13</v>
      </c>
      <c r="B158" s="281" t="s">
        <v>1563</v>
      </c>
      <c r="C158" s="279" t="s">
        <v>89</v>
      </c>
      <c r="D158" s="278" t="s">
        <v>1564</v>
      </c>
      <c r="E158" s="296" t="s">
        <v>1565</v>
      </c>
      <c r="F158" s="297" t="s">
        <v>1566</v>
      </c>
      <c r="G158" s="296" t="s">
        <v>1259</v>
      </c>
      <c r="H158" s="296" t="s">
        <v>1025</v>
      </c>
      <c r="I158" s="296" t="s">
        <v>2063</v>
      </c>
      <c r="J158" s="311">
        <v>2190</v>
      </c>
      <c r="K158" s="311">
        <f>J158*70%</f>
        <v>1533</v>
      </c>
      <c r="L158" s="311">
        <v>383</v>
      </c>
      <c r="M158" s="311">
        <v>383</v>
      </c>
      <c r="N158" s="311">
        <v>383</v>
      </c>
      <c r="O158" s="311">
        <v>383</v>
      </c>
      <c r="P158" s="312">
        <f t="shared" si="29"/>
        <v>0</v>
      </c>
      <c r="Q158" s="393">
        <v>0</v>
      </c>
      <c r="R158" s="298"/>
      <c r="S158" s="313"/>
    </row>
    <row r="159" spans="1:19" s="867" customFormat="1" ht="72.95" customHeight="1">
      <c r="A159" s="360">
        <v>14</v>
      </c>
      <c r="B159" s="281" t="s">
        <v>1567</v>
      </c>
      <c r="C159" s="279" t="s">
        <v>89</v>
      </c>
      <c r="D159" s="278" t="s">
        <v>1568</v>
      </c>
      <c r="E159" s="296" t="s">
        <v>1569</v>
      </c>
      <c r="F159" s="297" t="s">
        <v>1570</v>
      </c>
      <c r="G159" s="296" t="s">
        <v>1259</v>
      </c>
      <c r="H159" s="296" t="s">
        <v>1025</v>
      </c>
      <c r="I159" s="296" t="s">
        <v>2064</v>
      </c>
      <c r="J159" s="311">
        <v>3841</v>
      </c>
      <c r="K159" s="311">
        <f>J159*70%</f>
        <v>2688.7</v>
      </c>
      <c r="L159" s="311">
        <v>1350</v>
      </c>
      <c r="M159" s="311">
        <v>1350</v>
      </c>
      <c r="N159" s="311">
        <v>1350</v>
      </c>
      <c r="O159" s="311">
        <f t="shared" si="30"/>
        <v>1350</v>
      </c>
      <c r="P159" s="312">
        <f t="shared" si="29"/>
        <v>0</v>
      </c>
      <c r="Q159" s="393">
        <v>0</v>
      </c>
      <c r="R159" s="298"/>
      <c r="S159" s="313"/>
    </row>
    <row r="160" spans="1:19" s="867" customFormat="1" ht="51" customHeight="1">
      <c r="A160" s="360">
        <v>15</v>
      </c>
      <c r="B160" s="281" t="s">
        <v>1571</v>
      </c>
      <c r="C160" s="279" t="s">
        <v>89</v>
      </c>
      <c r="D160" s="278" t="s">
        <v>1572</v>
      </c>
      <c r="E160" s="296" t="s">
        <v>1573</v>
      </c>
      <c r="F160" s="297" t="s">
        <v>1574</v>
      </c>
      <c r="G160" s="296" t="s">
        <v>1259</v>
      </c>
      <c r="H160" s="296" t="s">
        <v>1025</v>
      </c>
      <c r="I160" s="296" t="s">
        <v>2065</v>
      </c>
      <c r="J160" s="311">
        <v>3391</v>
      </c>
      <c r="K160" s="311">
        <f>J160*0.9</f>
        <v>3051.9</v>
      </c>
      <c r="L160" s="311">
        <v>290</v>
      </c>
      <c r="M160" s="311">
        <v>290</v>
      </c>
      <c r="N160" s="311">
        <v>290</v>
      </c>
      <c r="O160" s="311">
        <f t="shared" si="30"/>
        <v>290</v>
      </c>
      <c r="P160" s="312">
        <f t="shared" si="29"/>
        <v>0</v>
      </c>
      <c r="Q160" s="393">
        <v>0</v>
      </c>
      <c r="R160" s="298"/>
      <c r="S160" s="313"/>
    </row>
    <row r="161" spans="1:19" s="868" customFormat="1" ht="77.099999999999994" customHeight="1">
      <c r="A161" s="422" t="s">
        <v>98</v>
      </c>
      <c r="B161" s="294" t="s">
        <v>685</v>
      </c>
      <c r="C161" s="279"/>
      <c r="D161" s="330"/>
      <c r="E161" s="330"/>
      <c r="F161" s="331"/>
      <c r="G161" s="296"/>
      <c r="H161" s="296"/>
      <c r="I161" s="296"/>
      <c r="J161" s="376">
        <f>SUM(J162:J186)</f>
        <v>310909</v>
      </c>
      <c r="K161" s="376">
        <f t="shared" ref="K161:Q161" si="31">SUM(K162:K186)</f>
        <v>299486.90000000002</v>
      </c>
      <c r="L161" s="376">
        <f t="shared" si="31"/>
        <v>176108</v>
      </c>
      <c r="M161" s="376">
        <f t="shared" si="31"/>
        <v>176108</v>
      </c>
      <c r="N161" s="376">
        <f t="shared" si="31"/>
        <v>174488</v>
      </c>
      <c r="O161" s="376">
        <f t="shared" si="31"/>
        <v>176608</v>
      </c>
      <c r="P161" s="376">
        <f t="shared" si="31"/>
        <v>500</v>
      </c>
      <c r="Q161" s="376">
        <f t="shared" si="31"/>
        <v>500</v>
      </c>
      <c r="R161" s="380"/>
      <c r="S161" s="317"/>
    </row>
    <row r="162" spans="1:19" s="868" customFormat="1" ht="68.45" customHeight="1">
      <c r="A162" s="360">
        <v>1</v>
      </c>
      <c r="B162" s="315" t="s">
        <v>1103</v>
      </c>
      <c r="C162" s="279" t="s">
        <v>89</v>
      </c>
      <c r="D162" s="314" t="s">
        <v>1104</v>
      </c>
      <c r="E162" s="330" t="s">
        <v>860</v>
      </c>
      <c r="F162" s="331" t="s">
        <v>1537</v>
      </c>
      <c r="G162" s="296" t="s">
        <v>2181</v>
      </c>
      <c r="H162" s="296" t="s">
        <v>661</v>
      </c>
      <c r="I162" s="296" t="s">
        <v>2066</v>
      </c>
      <c r="J162" s="312">
        <v>3135</v>
      </c>
      <c r="K162" s="312">
        <f t="shared" ref="K162:K173" si="32">J162*0.9</f>
        <v>2821.5</v>
      </c>
      <c r="L162" s="311">
        <v>2267</v>
      </c>
      <c r="M162" s="311">
        <v>2267</v>
      </c>
      <c r="N162" s="311">
        <v>2267</v>
      </c>
      <c r="O162" s="311">
        <v>2267</v>
      </c>
      <c r="P162" s="312">
        <f t="shared" ref="P162:P180" si="33">O162-M162</f>
        <v>0</v>
      </c>
      <c r="Q162" s="312">
        <v>0</v>
      </c>
      <c r="R162" s="203"/>
      <c r="S162" s="317"/>
    </row>
    <row r="163" spans="1:19" s="868" customFormat="1" ht="63.95" customHeight="1">
      <c r="A163" s="360">
        <v>2</v>
      </c>
      <c r="B163" s="315" t="s">
        <v>1538</v>
      </c>
      <c r="C163" s="279" t="s">
        <v>89</v>
      </c>
      <c r="D163" s="314" t="s">
        <v>1539</v>
      </c>
      <c r="E163" s="330" t="s">
        <v>860</v>
      </c>
      <c r="F163" s="331" t="s">
        <v>1540</v>
      </c>
      <c r="G163" s="296" t="s">
        <v>2182</v>
      </c>
      <c r="H163" s="296" t="s">
        <v>661</v>
      </c>
      <c r="I163" s="296" t="s">
        <v>2067</v>
      </c>
      <c r="J163" s="312">
        <v>677</v>
      </c>
      <c r="K163" s="312">
        <f t="shared" si="32"/>
        <v>609.30000000000007</v>
      </c>
      <c r="L163" s="311">
        <v>565</v>
      </c>
      <c r="M163" s="311">
        <v>565</v>
      </c>
      <c r="N163" s="311">
        <v>565</v>
      </c>
      <c r="O163" s="311">
        <v>565</v>
      </c>
      <c r="P163" s="312">
        <f t="shared" si="33"/>
        <v>0</v>
      </c>
      <c r="Q163" s="393">
        <v>0</v>
      </c>
      <c r="R163" s="203"/>
      <c r="S163" s="317"/>
    </row>
    <row r="164" spans="1:19" s="868" customFormat="1" ht="66.599999999999994" customHeight="1">
      <c r="A164" s="360">
        <v>3</v>
      </c>
      <c r="B164" s="315" t="s">
        <v>1541</v>
      </c>
      <c r="C164" s="279" t="s">
        <v>89</v>
      </c>
      <c r="D164" s="314" t="s">
        <v>1542</v>
      </c>
      <c r="E164" s="330" t="s">
        <v>860</v>
      </c>
      <c r="F164" s="331" t="s">
        <v>1543</v>
      </c>
      <c r="G164" s="296" t="s">
        <v>2182</v>
      </c>
      <c r="H164" s="296" t="s">
        <v>661</v>
      </c>
      <c r="I164" s="296" t="s">
        <v>2068</v>
      </c>
      <c r="J164" s="312">
        <v>608</v>
      </c>
      <c r="K164" s="312">
        <f t="shared" si="32"/>
        <v>547.20000000000005</v>
      </c>
      <c r="L164" s="311">
        <v>364</v>
      </c>
      <c r="M164" s="311">
        <v>364</v>
      </c>
      <c r="N164" s="311">
        <v>364</v>
      </c>
      <c r="O164" s="311">
        <v>364</v>
      </c>
      <c r="P164" s="312">
        <f t="shared" si="33"/>
        <v>0</v>
      </c>
      <c r="Q164" s="393">
        <v>0</v>
      </c>
      <c r="R164" s="203"/>
      <c r="S164" s="317"/>
    </row>
    <row r="165" spans="1:19" s="868" customFormat="1" ht="72" customHeight="1">
      <c r="A165" s="360">
        <v>4</v>
      </c>
      <c r="B165" s="315" t="s">
        <v>1544</v>
      </c>
      <c r="C165" s="279" t="s">
        <v>89</v>
      </c>
      <c r="D165" s="314" t="s">
        <v>1545</v>
      </c>
      <c r="E165" s="330" t="s">
        <v>860</v>
      </c>
      <c r="F165" s="331" t="s">
        <v>1546</v>
      </c>
      <c r="G165" s="296" t="s">
        <v>2182</v>
      </c>
      <c r="H165" s="296" t="s">
        <v>661</v>
      </c>
      <c r="I165" s="296" t="s">
        <v>2069</v>
      </c>
      <c r="J165" s="312">
        <v>715</v>
      </c>
      <c r="K165" s="312">
        <f t="shared" si="32"/>
        <v>643.5</v>
      </c>
      <c r="L165" s="311">
        <v>471</v>
      </c>
      <c r="M165" s="311">
        <v>471</v>
      </c>
      <c r="N165" s="311">
        <v>471</v>
      </c>
      <c r="O165" s="311">
        <v>471</v>
      </c>
      <c r="P165" s="312">
        <f t="shared" si="33"/>
        <v>0</v>
      </c>
      <c r="Q165" s="393">
        <v>0</v>
      </c>
      <c r="R165" s="203"/>
      <c r="S165" s="317"/>
    </row>
    <row r="166" spans="1:19" s="868" customFormat="1" ht="126.75" customHeight="1">
      <c r="A166" s="360">
        <v>5</v>
      </c>
      <c r="B166" s="315" t="s">
        <v>1112</v>
      </c>
      <c r="C166" s="279" t="s">
        <v>89</v>
      </c>
      <c r="D166" s="314" t="s">
        <v>1113</v>
      </c>
      <c r="E166" s="330" t="s">
        <v>860</v>
      </c>
      <c r="F166" s="331" t="s">
        <v>1547</v>
      </c>
      <c r="G166" s="296" t="s">
        <v>2181</v>
      </c>
      <c r="H166" s="296" t="s">
        <v>661</v>
      </c>
      <c r="I166" s="296" t="s">
        <v>2070</v>
      </c>
      <c r="J166" s="312">
        <v>2545</v>
      </c>
      <c r="K166" s="312">
        <f t="shared" si="32"/>
        <v>2290.5</v>
      </c>
      <c r="L166" s="311">
        <v>1847</v>
      </c>
      <c r="M166" s="311">
        <v>1847</v>
      </c>
      <c r="N166" s="311">
        <v>1847</v>
      </c>
      <c r="O166" s="311">
        <v>1847</v>
      </c>
      <c r="P166" s="312">
        <f t="shared" si="33"/>
        <v>0</v>
      </c>
      <c r="Q166" s="393">
        <v>0</v>
      </c>
      <c r="R166" s="203"/>
      <c r="S166" s="317"/>
    </row>
    <row r="167" spans="1:19" s="868" customFormat="1" ht="79.5" customHeight="1">
      <c r="A167" s="360">
        <v>6</v>
      </c>
      <c r="B167" s="315" t="s">
        <v>1121</v>
      </c>
      <c r="C167" s="279" t="s">
        <v>89</v>
      </c>
      <c r="D167" s="314" t="s">
        <v>1122</v>
      </c>
      <c r="E167" s="330" t="s">
        <v>860</v>
      </c>
      <c r="F167" s="331" t="s">
        <v>1548</v>
      </c>
      <c r="G167" s="296" t="s">
        <v>2182</v>
      </c>
      <c r="H167" s="296" t="s">
        <v>661</v>
      </c>
      <c r="I167" s="296" t="s">
        <v>2071</v>
      </c>
      <c r="J167" s="312">
        <v>1700</v>
      </c>
      <c r="K167" s="312">
        <f t="shared" si="32"/>
        <v>1530</v>
      </c>
      <c r="L167" s="311">
        <v>1116</v>
      </c>
      <c r="M167" s="311">
        <v>1116</v>
      </c>
      <c r="N167" s="311">
        <v>1116</v>
      </c>
      <c r="O167" s="311">
        <v>1116</v>
      </c>
      <c r="P167" s="312">
        <f t="shared" si="33"/>
        <v>0</v>
      </c>
      <c r="Q167" s="393">
        <v>0</v>
      </c>
      <c r="R167" s="203"/>
      <c r="S167" s="317"/>
    </row>
    <row r="168" spans="1:19" s="868" customFormat="1" ht="84" customHeight="1">
      <c r="A168" s="360">
        <v>7</v>
      </c>
      <c r="B168" s="315" t="s">
        <v>1118</v>
      </c>
      <c r="C168" s="279" t="s">
        <v>89</v>
      </c>
      <c r="D168" s="314" t="s">
        <v>1119</v>
      </c>
      <c r="E168" s="330" t="s">
        <v>860</v>
      </c>
      <c r="F168" s="331" t="s">
        <v>1549</v>
      </c>
      <c r="G168" s="296" t="s">
        <v>2181</v>
      </c>
      <c r="H168" s="296" t="s">
        <v>661</v>
      </c>
      <c r="I168" s="296" t="s">
        <v>2072</v>
      </c>
      <c r="J168" s="312">
        <v>2111</v>
      </c>
      <c r="K168" s="312">
        <f t="shared" si="32"/>
        <v>1899.9</v>
      </c>
      <c r="L168" s="311">
        <v>1454</v>
      </c>
      <c r="M168" s="311">
        <v>1454</v>
      </c>
      <c r="N168" s="311">
        <v>1454</v>
      </c>
      <c r="O168" s="311">
        <v>1454</v>
      </c>
      <c r="P168" s="312">
        <f t="shared" si="33"/>
        <v>0</v>
      </c>
      <c r="Q168" s="393">
        <v>0</v>
      </c>
      <c r="R168" s="203"/>
      <c r="S168" s="317"/>
    </row>
    <row r="169" spans="1:19" s="868" customFormat="1" ht="77.099999999999994" customHeight="1">
      <c r="A169" s="360">
        <v>8</v>
      </c>
      <c r="B169" s="315" t="s">
        <v>1550</v>
      </c>
      <c r="C169" s="279" t="s">
        <v>89</v>
      </c>
      <c r="D169" s="314" t="s">
        <v>1551</v>
      </c>
      <c r="E169" s="330" t="s">
        <v>860</v>
      </c>
      <c r="F169" s="331" t="s">
        <v>1552</v>
      </c>
      <c r="G169" s="296" t="s">
        <v>2182</v>
      </c>
      <c r="H169" s="296" t="s">
        <v>661</v>
      </c>
      <c r="I169" s="296" t="s">
        <v>2073</v>
      </c>
      <c r="J169" s="312">
        <v>229</v>
      </c>
      <c r="K169" s="312">
        <f t="shared" si="32"/>
        <v>206.1</v>
      </c>
      <c r="L169" s="311">
        <v>183</v>
      </c>
      <c r="M169" s="311">
        <v>183</v>
      </c>
      <c r="N169" s="311">
        <v>183</v>
      </c>
      <c r="O169" s="311">
        <v>183</v>
      </c>
      <c r="P169" s="312">
        <f t="shared" si="33"/>
        <v>0</v>
      </c>
      <c r="Q169" s="393">
        <v>0</v>
      </c>
      <c r="R169" s="203"/>
      <c r="S169" s="317"/>
    </row>
    <row r="170" spans="1:19" s="868" customFormat="1" ht="128.1" customHeight="1">
      <c r="A170" s="360">
        <v>9</v>
      </c>
      <c r="B170" s="315" t="s">
        <v>1106</v>
      </c>
      <c r="C170" s="279" t="s">
        <v>89</v>
      </c>
      <c r="D170" s="314" t="s">
        <v>1107</v>
      </c>
      <c r="E170" s="330" t="s">
        <v>860</v>
      </c>
      <c r="F170" s="331" t="s">
        <v>1553</v>
      </c>
      <c r="G170" s="296" t="s">
        <v>2182</v>
      </c>
      <c r="H170" s="296" t="s">
        <v>661</v>
      </c>
      <c r="I170" s="296" t="s">
        <v>2074</v>
      </c>
      <c r="J170" s="312">
        <v>1593</v>
      </c>
      <c r="K170" s="312">
        <f t="shared" si="32"/>
        <v>1433.7</v>
      </c>
      <c r="L170" s="311">
        <v>1105</v>
      </c>
      <c r="M170" s="311">
        <v>1105</v>
      </c>
      <c r="N170" s="311">
        <v>1105</v>
      </c>
      <c r="O170" s="311">
        <v>1105</v>
      </c>
      <c r="P170" s="312">
        <f t="shared" si="33"/>
        <v>0</v>
      </c>
      <c r="Q170" s="393">
        <v>0</v>
      </c>
      <c r="R170" s="203"/>
      <c r="S170" s="317"/>
    </row>
    <row r="171" spans="1:19" s="868" customFormat="1" ht="143.1" customHeight="1">
      <c r="A171" s="360">
        <v>10</v>
      </c>
      <c r="B171" s="315" t="s">
        <v>1554</v>
      </c>
      <c r="C171" s="279" t="s">
        <v>89</v>
      </c>
      <c r="D171" s="314" t="s">
        <v>1116</v>
      </c>
      <c r="E171" s="330" t="s">
        <v>860</v>
      </c>
      <c r="F171" s="331" t="s">
        <v>1547</v>
      </c>
      <c r="G171" s="296" t="s">
        <v>2181</v>
      </c>
      <c r="H171" s="296" t="s">
        <v>661</v>
      </c>
      <c r="I171" s="296" t="s">
        <v>2075</v>
      </c>
      <c r="J171" s="312">
        <v>4533</v>
      </c>
      <c r="K171" s="312">
        <f t="shared" si="32"/>
        <v>4079.7000000000003</v>
      </c>
      <c r="L171" s="311">
        <v>2775</v>
      </c>
      <c r="M171" s="311">
        <v>2775</v>
      </c>
      <c r="N171" s="311">
        <v>2775</v>
      </c>
      <c r="O171" s="311">
        <v>2775</v>
      </c>
      <c r="P171" s="312">
        <f t="shared" si="33"/>
        <v>0</v>
      </c>
      <c r="Q171" s="393">
        <v>0</v>
      </c>
      <c r="R171" s="203"/>
      <c r="S171" s="317"/>
    </row>
    <row r="172" spans="1:19" s="868" customFormat="1" ht="150" customHeight="1">
      <c r="A172" s="360">
        <v>11</v>
      </c>
      <c r="B172" s="315" t="s">
        <v>1109</v>
      </c>
      <c r="C172" s="279" t="s">
        <v>89</v>
      </c>
      <c r="D172" s="314" t="s">
        <v>1110</v>
      </c>
      <c r="E172" s="330" t="s">
        <v>860</v>
      </c>
      <c r="F172" s="331" t="s">
        <v>1555</v>
      </c>
      <c r="G172" s="296" t="s">
        <v>2182</v>
      </c>
      <c r="H172" s="296" t="s">
        <v>661</v>
      </c>
      <c r="I172" s="296" t="s">
        <v>1935</v>
      </c>
      <c r="J172" s="312">
        <v>1955</v>
      </c>
      <c r="K172" s="312">
        <f t="shared" si="32"/>
        <v>1759.5</v>
      </c>
      <c r="L172" s="311">
        <v>863</v>
      </c>
      <c r="M172" s="311">
        <v>863</v>
      </c>
      <c r="N172" s="311">
        <v>863</v>
      </c>
      <c r="O172" s="311">
        <v>863</v>
      </c>
      <c r="P172" s="312">
        <f t="shared" si="33"/>
        <v>0</v>
      </c>
      <c r="Q172" s="393">
        <v>0</v>
      </c>
      <c r="R172" s="203"/>
      <c r="S172" s="317"/>
    </row>
    <row r="173" spans="1:19" s="868" customFormat="1" ht="99.95" customHeight="1">
      <c r="A173" s="360">
        <v>12</v>
      </c>
      <c r="B173" s="315" t="s">
        <v>1556</v>
      </c>
      <c r="C173" s="279" t="s">
        <v>89</v>
      </c>
      <c r="D173" s="363">
        <v>7880817</v>
      </c>
      <c r="E173" s="330" t="s">
        <v>860</v>
      </c>
      <c r="F173" s="331" t="s">
        <v>1549</v>
      </c>
      <c r="G173" s="296" t="s">
        <v>2182</v>
      </c>
      <c r="H173" s="296" t="s">
        <v>661</v>
      </c>
      <c r="I173" s="296" t="s">
        <v>1936</v>
      </c>
      <c r="J173" s="312">
        <v>1080</v>
      </c>
      <c r="K173" s="312">
        <f t="shared" si="32"/>
        <v>972</v>
      </c>
      <c r="L173" s="311">
        <v>765</v>
      </c>
      <c r="M173" s="311">
        <v>765</v>
      </c>
      <c r="N173" s="311">
        <v>765</v>
      </c>
      <c r="O173" s="311">
        <v>765</v>
      </c>
      <c r="P173" s="312">
        <f t="shared" si="33"/>
        <v>0</v>
      </c>
      <c r="Q173" s="393">
        <v>0</v>
      </c>
      <c r="R173" s="203"/>
      <c r="S173" s="317"/>
    </row>
    <row r="174" spans="1:19" s="874" customFormat="1" ht="99.95" customHeight="1">
      <c r="A174" s="360">
        <v>13</v>
      </c>
      <c r="B174" s="277" t="s">
        <v>1575</v>
      </c>
      <c r="C174" s="279" t="s">
        <v>89</v>
      </c>
      <c r="D174" s="314" t="s">
        <v>2263</v>
      </c>
      <c r="E174" s="279" t="s">
        <v>860</v>
      </c>
      <c r="F174" s="279" t="s">
        <v>1576</v>
      </c>
      <c r="G174" s="279" t="s">
        <v>2183</v>
      </c>
      <c r="H174" s="297" t="s">
        <v>1318</v>
      </c>
      <c r="I174" s="316" t="s">
        <v>1937</v>
      </c>
      <c r="J174" s="280">
        <v>10000</v>
      </c>
      <c r="K174" s="321">
        <f>J174*0.8</f>
        <v>8000</v>
      </c>
      <c r="L174" s="311">
        <v>7500</v>
      </c>
      <c r="M174" s="311">
        <v>7500</v>
      </c>
      <c r="N174" s="311">
        <f>1500+3000+3500</f>
        <v>8000</v>
      </c>
      <c r="O174" s="311">
        <v>8000</v>
      </c>
      <c r="P174" s="312">
        <f t="shared" si="33"/>
        <v>500</v>
      </c>
      <c r="Q174" s="300">
        <v>0</v>
      </c>
      <c r="R174" s="298" t="s">
        <v>2381</v>
      </c>
      <c r="S174" s="361"/>
    </row>
    <row r="175" spans="1:19" s="874" customFormat="1" ht="99.95" customHeight="1">
      <c r="A175" s="360">
        <v>14</v>
      </c>
      <c r="B175" s="277" t="s">
        <v>1577</v>
      </c>
      <c r="C175" s="279" t="s">
        <v>89</v>
      </c>
      <c r="D175" s="466" t="s">
        <v>2264</v>
      </c>
      <c r="E175" s="279" t="s">
        <v>860</v>
      </c>
      <c r="F175" s="279" t="s">
        <v>1578</v>
      </c>
      <c r="G175" s="279" t="s">
        <v>2184</v>
      </c>
      <c r="H175" s="297" t="s">
        <v>644</v>
      </c>
      <c r="I175" s="338" t="s">
        <v>2076</v>
      </c>
      <c r="J175" s="321">
        <v>1700</v>
      </c>
      <c r="K175" s="321">
        <f>J175*0.8</f>
        <v>1360</v>
      </c>
      <c r="L175" s="311">
        <v>1224</v>
      </c>
      <c r="M175" s="282">
        <v>1224</v>
      </c>
      <c r="N175" s="282">
        <v>1224</v>
      </c>
      <c r="O175" s="282">
        <v>1224</v>
      </c>
      <c r="P175" s="312">
        <f t="shared" si="33"/>
        <v>0</v>
      </c>
      <c r="Q175" s="392">
        <v>0</v>
      </c>
      <c r="R175" s="298"/>
      <c r="S175" s="361"/>
    </row>
    <row r="176" spans="1:19" s="874" customFormat="1" ht="129.75" customHeight="1">
      <c r="A176" s="360">
        <v>15</v>
      </c>
      <c r="B176" s="334" t="s">
        <v>1579</v>
      </c>
      <c r="C176" s="278" t="s">
        <v>89</v>
      </c>
      <c r="D176" s="278">
        <v>7921779</v>
      </c>
      <c r="E176" s="279" t="s">
        <v>860</v>
      </c>
      <c r="F176" s="279" t="s">
        <v>895</v>
      </c>
      <c r="G176" s="279" t="s">
        <v>2185</v>
      </c>
      <c r="H176" s="297" t="s">
        <v>1318</v>
      </c>
      <c r="I176" s="338" t="s">
        <v>2077</v>
      </c>
      <c r="J176" s="280">
        <v>10000</v>
      </c>
      <c r="K176" s="321">
        <f>J176*0.8</f>
        <v>8000</v>
      </c>
      <c r="L176" s="311">
        <v>8000</v>
      </c>
      <c r="M176" s="311">
        <v>8000</v>
      </c>
      <c r="N176" s="311">
        <f>1500+3628+2872</f>
        <v>8000</v>
      </c>
      <c r="O176" s="311">
        <v>8000</v>
      </c>
      <c r="P176" s="300">
        <f t="shared" si="33"/>
        <v>0</v>
      </c>
      <c r="Q176" s="300">
        <v>0</v>
      </c>
      <c r="R176" s="364"/>
      <c r="S176" s="361"/>
    </row>
    <row r="177" spans="1:19" s="874" customFormat="1" ht="119.25" customHeight="1">
      <c r="A177" s="360">
        <v>16</v>
      </c>
      <c r="B177" s="334" t="s">
        <v>1580</v>
      </c>
      <c r="C177" s="278" t="s">
        <v>89</v>
      </c>
      <c r="D177" s="278">
        <v>7951095</v>
      </c>
      <c r="E177" s="279" t="s">
        <v>860</v>
      </c>
      <c r="F177" s="279" t="s">
        <v>865</v>
      </c>
      <c r="G177" s="279" t="s">
        <v>2185</v>
      </c>
      <c r="H177" s="297" t="s">
        <v>1318</v>
      </c>
      <c r="I177" s="338" t="s">
        <v>2078</v>
      </c>
      <c r="J177" s="280">
        <v>10000</v>
      </c>
      <c r="K177" s="321">
        <f>J177*0.8</f>
        <v>8000</v>
      </c>
      <c r="L177" s="311">
        <v>8000</v>
      </c>
      <c r="M177" s="311">
        <v>8000</v>
      </c>
      <c r="N177" s="311">
        <f>1500+3000+3500</f>
        <v>8000</v>
      </c>
      <c r="O177" s="311">
        <v>8000</v>
      </c>
      <c r="P177" s="300">
        <f t="shared" si="33"/>
        <v>0</v>
      </c>
      <c r="Q177" s="300">
        <f>N177-M177</f>
        <v>0</v>
      </c>
      <c r="R177" s="364"/>
      <c r="S177" s="361"/>
    </row>
    <row r="178" spans="1:19" s="874" customFormat="1" ht="73.5" customHeight="1">
      <c r="A178" s="360">
        <v>17</v>
      </c>
      <c r="B178" s="334" t="s">
        <v>1581</v>
      </c>
      <c r="C178" s="278" t="s">
        <v>89</v>
      </c>
      <c r="D178" s="278">
        <v>7914020</v>
      </c>
      <c r="E178" s="279" t="s">
        <v>860</v>
      </c>
      <c r="F178" s="279" t="s">
        <v>1582</v>
      </c>
      <c r="G178" s="297" t="s">
        <v>2186</v>
      </c>
      <c r="H178" s="297" t="s">
        <v>1318</v>
      </c>
      <c r="I178" s="338" t="s">
        <v>2079</v>
      </c>
      <c r="J178" s="280">
        <v>14494</v>
      </c>
      <c r="K178" s="321">
        <v>11500</v>
      </c>
      <c r="L178" s="311">
        <v>11500</v>
      </c>
      <c r="M178" s="311">
        <v>11500</v>
      </c>
      <c r="N178" s="311">
        <f>1800+4900+4800</f>
        <v>11500</v>
      </c>
      <c r="O178" s="311">
        <v>11500</v>
      </c>
      <c r="P178" s="300">
        <f t="shared" si="33"/>
        <v>0</v>
      </c>
      <c r="Q178" s="300">
        <v>0</v>
      </c>
      <c r="R178" s="364"/>
      <c r="S178" s="361"/>
    </row>
    <row r="179" spans="1:19" s="866" customFormat="1" ht="71.099999999999994" customHeight="1">
      <c r="A179" s="360">
        <v>18</v>
      </c>
      <c r="B179" s="277" t="s">
        <v>1583</v>
      </c>
      <c r="C179" s="278" t="s">
        <v>89</v>
      </c>
      <c r="D179" s="278">
        <v>7915653</v>
      </c>
      <c r="E179" s="279" t="s">
        <v>860</v>
      </c>
      <c r="F179" s="279" t="s">
        <v>1578</v>
      </c>
      <c r="G179" s="297" t="s">
        <v>1584</v>
      </c>
      <c r="H179" s="297" t="s">
        <v>673</v>
      </c>
      <c r="I179" s="279" t="s">
        <v>2080</v>
      </c>
      <c r="J179" s="280">
        <v>18000</v>
      </c>
      <c r="K179" s="280">
        <v>18000</v>
      </c>
      <c r="L179" s="300">
        <v>18000</v>
      </c>
      <c r="M179" s="311">
        <v>18000</v>
      </c>
      <c r="N179" s="311">
        <f>4000+4000+10000</f>
        <v>18000</v>
      </c>
      <c r="O179" s="311">
        <v>18000</v>
      </c>
      <c r="P179" s="300">
        <f t="shared" si="33"/>
        <v>0</v>
      </c>
      <c r="Q179" s="300">
        <v>0</v>
      </c>
      <c r="R179" s="323"/>
      <c r="S179" s="284"/>
    </row>
    <row r="180" spans="1:19" s="866" customFormat="1" ht="77.45" customHeight="1">
      <c r="A180" s="360">
        <v>19</v>
      </c>
      <c r="B180" s="277" t="s">
        <v>1585</v>
      </c>
      <c r="C180" s="278" t="s">
        <v>89</v>
      </c>
      <c r="D180" s="278">
        <v>7944781</v>
      </c>
      <c r="E180" s="279" t="s">
        <v>860</v>
      </c>
      <c r="F180" s="279" t="s">
        <v>1578</v>
      </c>
      <c r="G180" s="297" t="s">
        <v>1586</v>
      </c>
      <c r="H180" s="297" t="s">
        <v>673</v>
      </c>
      <c r="I180" s="279" t="s">
        <v>2081</v>
      </c>
      <c r="J180" s="280">
        <v>9334</v>
      </c>
      <c r="K180" s="280">
        <v>9334</v>
      </c>
      <c r="L180" s="300">
        <v>9300</v>
      </c>
      <c r="M180" s="311">
        <v>9300</v>
      </c>
      <c r="N180" s="311">
        <f>2500+4000+2800</f>
        <v>9300</v>
      </c>
      <c r="O180" s="311">
        <v>9300</v>
      </c>
      <c r="P180" s="300">
        <f t="shared" si="33"/>
        <v>0</v>
      </c>
      <c r="Q180" s="300">
        <v>0</v>
      </c>
      <c r="R180" s="307"/>
      <c r="S180" s="284"/>
    </row>
    <row r="181" spans="1:19" s="866" customFormat="1" ht="62.45" customHeight="1">
      <c r="A181" s="360">
        <v>20</v>
      </c>
      <c r="B181" s="277" t="s">
        <v>1587</v>
      </c>
      <c r="C181" s="278" t="s">
        <v>89</v>
      </c>
      <c r="D181" s="278">
        <v>7915638</v>
      </c>
      <c r="E181" s="279" t="s">
        <v>860</v>
      </c>
      <c r="F181" s="279" t="s">
        <v>1582</v>
      </c>
      <c r="G181" s="297" t="s">
        <v>1588</v>
      </c>
      <c r="H181" s="297" t="s">
        <v>1318</v>
      </c>
      <c r="I181" s="279" t="s">
        <v>2082</v>
      </c>
      <c r="J181" s="280">
        <v>30000</v>
      </c>
      <c r="K181" s="280">
        <v>30000</v>
      </c>
      <c r="L181" s="300">
        <v>18060</v>
      </c>
      <c r="M181" s="311">
        <v>18060</v>
      </c>
      <c r="N181" s="311">
        <f>5146+3000+9914</f>
        <v>18060</v>
      </c>
      <c r="O181" s="311">
        <v>18060</v>
      </c>
      <c r="P181" s="300"/>
      <c r="Q181" s="392">
        <v>500</v>
      </c>
      <c r="R181" s="297" t="s">
        <v>2243</v>
      </c>
      <c r="S181" s="284"/>
    </row>
    <row r="182" spans="1:19" s="866" customFormat="1" ht="78.95" customHeight="1">
      <c r="A182" s="360">
        <v>21</v>
      </c>
      <c r="B182" s="277" t="s">
        <v>1590</v>
      </c>
      <c r="C182" s="278" t="s">
        <v>88</v>
      </c>
      <c r="D182" s="278">
        <v>7915649</v>
      </c>
      <c r="E182" s="279" t="s">
        <v>860</v>
      </c>
      <c r="F182" s="279" t="s">
        <v>1582</v>
      </c>
      <c r="G182" s="297" t="s">
        <v>1591</v>
      </c>
      <c r="H182" s="297" t="s">
        <v>933</v>
      </c>
      <c r="I182" s="279" t="s">
        <v>2083</v>
      </c>
      <c r="J182" s="280">
        <v>70000</v>
      </c>
      <c r="K182" s="280">
        <v>70000</v>
      </c>
      <c r="L182" s="300">
        <v>15000</v>
      </c>
      <c r="M182" s="311">
        <v>15000</v>
      </c>
      <c r="N182" s="311">
        <f>1407+7370+6223</f>
        <v>15000</v>
      </c>
      <c r="O182" s="311">
        <f>N182</f>
        <v>15000</v>
      </c>
      <c r="P182" s="300">
        <f>O182-M182</f>
        <v>0</v>
      </c>
      <c r="Q182" s="392">
        <v>0</v>
      </c>
      <c r="R182" s="308"/>
      <c r="S182" s="284"/>
    </row>
    <row r="183" spans="1:19" s="866" customFormat="1" ht="71.099999999999994" customHeight="1">
      <c r="A183" s="360">
        <v>22</v>
      </c>
      <c r="B183" s="277" t="s">
        <v>1593</v>
      </c>
      <c r="C183" s="278" t="s">
        <v>89</v>
      </c>
      <c r="D183" s="278">
        <v>7918266</v>
      </c>
      <c r="E183" s="279" t="s">
        <v>860</v>
      </c>
      <c r="F183" s="279" t="s">
        <v>1594</v>
      </c>
      <c r="G183" s="297" t="s">
        <v>1595</v>
      </c>
      <c r="H183" s="297" t="s">
        <v>673</v>
      </c>
      <c r="I183" s="279" t="s">
        <v>2084</v>
      </c>
      <c r="J183" s="280">
        <v>33000</v>
      </c>
      <c r="K183" s="280">
        <v>33000</v>
      </c>
      <c r="L183" s="300">
        <v>23749</v>
      </c>
      <c r="M183" s="311">
        <v>23749</v>
      </c>
      <c r="N183" s="311">
        <f>800+7472+13949</f>
        <v>22221</v>
      </c>
      <c r="O183" s="311">
        <v>23749</v>
      </c>
      <c r="P183" s="300">
        <f>O183-M183</f>
        <v>0</v>
      </c>
      <c r="Q183" s="300"/>
      <c r="R183" s="323"/>
      <c r="S183" s="284"/>
    </row>
    <row r="184" spans="1:19" s="866" customFormat="1" ht="76.5" customHeight="1">
      <c r="A184" s="360">
        <v>23</v>
      </c>
      <c r="B184" s="281" t="s">
        <v>967</v>
      </c>
      <c r="C184" s="278" t="s">
        <v>89</v>
      </c>
      <c r="D184" s="278">
        <v>7876317</v>
      </c>
      <c r="E184" s="279" t="s">
        <v>1597</v>
      </c>
      <c r="F184" s="279" t="s">
        <v>1594</v>
      </c>
      <c r="G184" s="297" t="s">
        <v>1598</v>
      </c>
      <c r="H184" s="297" t="s">
        <v>673</v>
      </c>
      <c r="I184" s="279" t="s">
        <v>2085</v>
      </c>
      <c r="J184" s="280">
        <v>33500</v>
      </c>
      <c r="K184" s="280">
        <v>33500</v>
      </c>
      <c r="L184" s="280">
        <v>16000</v>
      </c>
      <c r="M184" s="311">
        <v>16000</v>
      </c>
      <c r="N184" s="311">
        <f>2000+9000+4408</f>
        <v>15408</v>
      </c>
      <c r="O184" s="311">
        <v>16000</v>
      </c>
      <c r="P184" s="300">
        <f>O184-M184</f>
        <v>0</v>
      </c>
      <c r="Q184" s="394">
        <v>0</v>
      </c>
      <c r="R184" s="323"/>
      <c r="S184" s="284"/>
    </row>
    <row r="185" spans="1:19" s="866" customFormat="1" ht="62.45" customHeight="1">
      <c r="A185" s="360">
        <v>24</v>
      </c>
      <c r="B185" s="277" t="s">
        <v>1600</v>
      </c>
      <c r="C185" s="278" t="s">
        <v>89</v>
      </c>
      <c r="D185" s="278">
        <v>7876314</v>
      </c>
      <c r="E185" s="279" t="s">
        <v>1597</v>
      </c>
      <c r="F185" s="279" t="s">
        <v>1582</v>
      </c>
      <c r="G185" s="297" t="s">
        <v>1601</v>
      </c>
      <c r="H185" s="297" t="s">
        <v>673</v>
      </c>
      <c r="I185" s="279" t="s">
        <v>2086</v>
      </c>
      <c r="J185" s="280">
        <v>30000</v>
      </c>
      <c r="K185" s="280">
        <v>30000</v>
      </c>
      <c r="L185" s="280">
        <v>12000</v>
      </c>
      <c r="M185" s="311">
        <v>12000</v>
      </c>
      <c r="N185" s="311">
        <f>2000+4000+6000</f>
        <v>12000</v>
      </c>
      <c r="O185" s="311">
        <v>12000</v>
      </c>
      <c r="P185" s="300">
        <f>O185-M185</f>
        <v>0</v>
      </c>
      <c r="Q185" s="309"/>
      <c r="R185" s="308"/>
      <c r="S185" s="284"/>
    </row>
    <row r="186" spans="1:19" s="866" customFormat="1" ht="53.45" customHeight="1">
      <c r="A186" s="360">
        <v>25</v>
      </c>
      <c r="B186" s="277" t="s">
        <v>1603</v>
      </c>
      <c r="C186" s="278" t="s">
        <v>89</v>
      </c>
      <c r="D186" s="278">
        <v>7876316</v>
      </c>
      <c r="E186" s="279" t="s">
        <v>1597</v>
      </c>
      <c r="F186" s="279" t="s">
        <v>1594</v>
      </c>
      <c r="G186" s="297" t="s">
        <v>1604</v>
      </c>
      <c r="H186" s="297" t="s">
        <v>673</v>
      </c>
      <c r="I186" s="279" t="s">
        <v>2087</v>
      </c>
      <c r="J186" s="280">
        <v>20000</v>
      </c>
      <c r="K186" s="280">
        <v>20000</v>
      </c>
      <c r="L186" s="280">
        <v>14000</v>
      </c>
      <c r="M186" s="311">
        <v>14000</v>
      </c>
      <c r="N186" s="311">
        <f>2000+6304+5696</f>
        <v>14000</v>
      </c>
      <c r="O186" s="311">
        <v>14000</v>
      </c>
      <c r="P186" s="300">
        <f>O186-M186</f>
        <v>0</v>
      </c>
      <c r="Q186" s="392">
        <v>0</v>
      </c>
      <c r="R186" s="308"/>
      <c r="S186" s="284"/>
    </row>
    <row r="187" spans="1:19" s="866" customFormat="1" ht="60" customHeight="1">
      <c r="A187" s="360" t="s">
        <v>932</v>
      </c>
      <c r="B187" s="294" t="s">
        <v>1846</v>
      </c>
      <c r="C187" s="278"/>
      <c r="D187" s="303"/>
      <c r="E187" s="279"/>
      <c r="F187" s="279"/>
      <c r="G187" s="297"/>
      <c r="H187" s="297"/>
      <c r="I187" s="279"/>
      <c r="J187" s="376">
        <f>SUM(J188:J204)</f>
        <v>517082</v>
      </c>
      <c r="K187" s="376">
        <f t="shared" ref="K187:Q187" si="34">SUM(K188:K204)</f>
        <v>476156.9</v>
      </c>
      <c r="L187" s="376">
        <f t="shared" si="34"/>
        <v>1500</v>
      </c>
      <c r="M187" s="376">
        <f t="shared" si="34"/>
        <v>1500</v>
      </c>
      <c r="N187" s="376">
        <f t="shared" si="34"/>
        <v>0</v>
      </c>
      <c r="O187" s="376">
        <f t="shared" si="34"/>
        <v>1000</v>
      </c>
      <c r="P187" s="376">
        <f t="shared" si="34"/>
        <v>0</v>
      </c>
      <c r="Q187" s="376">
        <f t="shared" si="34"/>
        <v>0</v>
      </c>
      <c r="R187" s="855"/>
      <c r="S187" s="284"/>
    </row>
    <row r="188" spans="1:19" s="866" customFormat="1" ht="67.5" customHeight="1">
      <c r="A188" s="360">
        <v>1</v>
      </c>
      <c r="B188" s="365" t="s">
        <v>1606</v>
      </c>
      <c r="C188" s="366" t="s">
        <v>89</v>
      </c>
      <c r="D188" s="365"/>
      <c r="E188" s="367" t="s">
        <v>860</v>
      </c>
      <c r="F188" s="368" t="s">
        <v>1549</v>
      </c>
      <c r="G188" s="368"/>
      <c r="H188" s="368" t="s">
        <v>1334</v>
      </c>
      <c r="I188" s="368"/>
      <c r="J188" s="311">
        <v>22200</v>
      </c>
      <c r="K188" s="311">
        <f>J188</f>
        <v>22200</v>
      </c>
      <c r="L188" s="300">
        <v>100</v>
      </c>
      <c r="M188" s="300">
        <v>100</v>
      </c>
      <c r="N188" s="300">
        <v>0</v>
      </c>
      <c r="O188" s="300">
        <v>100</v>
      </c>
      <c r="P188" s="392"/>
      <c r="Q188" s="392"/>
      <c r="R188" s="323"/>
      <c r="S188" s="284"/>
    </row>
    <row r="189" spans="1:19" s="866" customFormat="1" ht="54.6" customHeight="1">
      <c r="A189" s="360">
        <v>2</v>
      </c>
      <c r="B189" s="365" t="s">
        <v>1607</v>
      </c>
      <c r="C189" s="366" t="s">
        <v>89</v>
      </c>
      <c r="D189" s="365"/>
      <c r="E189" s="367" t="s">
        <v>860</v>
      </c>
      <c r="F189" s="368" t="s">
        <v>1608</v>
      </c>
      <c r="G189" s="368"/>
      <c r="H189" s="368" t="s">
        <v>1334</v>
      </c>
      <c r="I189" s="368"/>
      <c r="J189" s="311">
        <v>17300</v>
      </c>
      <c r="K189" s="311">
        <f t="shared" ref="K189:K203" si="35">J189</f>
        <v>17300</v>
      </c>
      <c r="L189" s="300">
        <v>100</v>
      </c>
      <c r="M189" s="300">
        <v>100</v>
      </c>
      <c r="N189" s="300">
        <v>0</v>
      </c>
      <c r="O189" s="300">
        <v>100</v>
      </c>
      <c r="P189" s="392"/>
      <c r="Q189" s="392"/>
      <c r="R189" s="323"/>
      <c r="S189" s="284"/>
    </row>
    <row r="190" spans="1:19" s="866" customFormat="1" ht="54.6" customHeight="1">
      <c r="A190" s="360">
        <v>3</v>
      </c>
      <c r="B190" s="365" t="s">
        <v>1609</v>
      </c>
      <c r="C190" s="366" t="s">
        <v>89</v>
      </c>
      <c r="D190" s="365"/>
      <c r="E190" s="367" t="s">
        <v>860</v>
      </c>
      <c r="F190" s="368" t="s">
        <v>1608</v>
      </c>
      <c r="G190" s="368"/>
      <c r="H190" s="368" t="s">
        <v>1334</v>
      </c>
      <c r="I190" s="368"/>
      <c r="J190" s="311">
        <v>58700</v>
      </c>
      <c r="K190" s="311">
        <f t="shared" si="35"/>
        <v>58700</v>
      </c>
      <c r="L190" s="300">
        <v>100</v>
      </c>
      <c r="M190" s="300">
        <v>100</v>
      </c>
      <c r="N190" s="300">
        <v>0</v>
      </c>
      <c r="O190" s="300">
        <v>100</v>
      </c>
      <c r="P190" s="392"/>
      <c r="Q190" s="392"/>
      <c r="R190" s="323"/>
      <c r="S190" s="284"/>
    </row>
    <row r="191" spans="1:19" s="866" customFormat="1" ht="54.6" customHeight="1">
      <c r="A191" s="360">
        <v>4</v>
      </c>
      <c r="B191" s="365" t="s">
        <v>1610</v>
      </c>
      <c r="C191" s="366" t="s">
        <v>89</v>
      </c>
      <c r="D191" s="365"/>
      <c r="E191" s="367" t="s">
        <v>860</v>
      </c>
      <c r="F191" s="368" t="s">
        <v>1611</v>
      </c>
      <c r="G191" s="368"/>
      <c r="H191" s="368" t="s">
        <v>1334</v>
      </c>
      <c r="I191" s="368"/>
      <c r="J191" s="311">
        <v>20000</v>
      </c>
      <c r="K191" s="311">
        <f t="shared" si="35"/>
        <v>20000</v>
      </c>
      <c r="L191" s="300">
        <v>100</v>
      </c>
      <c r="M191" s="300">
        <v>100</v>
      </c>
      <c r="N191" s="300">
        <v>0</v>
      </c>
      <c r="O191" s="300">
        <v>100</v>
      </c>
      <c r="P191" s="392"/>
      <c r="Q191" s="392"/>
      <c r="R191" s="323"/>
      <c r="S191" s="284"/>
    </row>
    <row r="192" spans="1:19" s="866" customFormat="1" ht="71.099999999999994" customHeight="1">
      <c r="A192" s="360">
        <v>5</v>
      </c>
      <c r="B192" s="365" t="s">
        <v>1612</v>
      </c>
      <c r="C192" s="366" t="s">
        <v>89</v>
      </c>
      <c r="D192" s="365"/>
      <c r="E192" s="279" t="s">
        <v>1597</v>
      </c>
      <c r="F192" s="368" t="s">
        <v>1611</v>
      </c>
      <c r="G192" s="368"/>
      <c r="H192" s="368" t="s">
        <v>1334</v>
      </c>
      <c r="I192" s="368"/>
      <c r="J192" s="311">
        <v>27000</v>
      </c>
      <c r="K192" s="311">
        <f t="shared" si="35"/>
        <v>27000</v>
      </c>
      <c r="L192" s="300">
        <v>100</v>
      </c>
      <c r="M192" s="300">
        <v>100</v>
      </c>
      <c r="N192" s="300">
        <v>0</v>
      </c>
      <c r="O192" s="300">
        <v>100</v>
      </c>
      <c r="P192" s="392"/>
      <c r="Q192" s="392"/>
      <c r="R192" s="323"/>
      <c r="S192" s="284"/>
    </row>
    <row r="193" spans="1:19" s="866" customFormat="1" ht="71.099999999999994" customHeight="1">
      <c r="A193" s="360">
        <v>6</v>
      </c>
      <c r="B193" s="365" t="s">
        <v>1613</v>
      </c>
      <c r="C193" s="366" t="s">
        <v>89</v>
      </c>
      <c r="D193" s="365"/>
      <c r="E193" s="367" t="s">
        <v>860</v>
      </c>
      <c r="F193" s="368" t="s">
        <v>1614</v>
      </c>
      <c r="G193" s="368"/>
      <c r="H193" s="368" t="s">
        <v>1334</v>
      </c>
      <c r="I193" s="368"/>
      <c r="J193" s="311">
        <v>30500</v>
      </c>
      <c r="K193" s="311">
        <f t="shared" si="35"/>
        <v>30500</v>
      </c>
      <c r="L193" s="300">
        <v>100</v>
      </c>
      <c r="M193" s="300">
        <v>100</v>
      </c>
      <c r="N193" s="300">
        <v>0</v>
      </c>
      <c r="O193" s="300">
        <v>50</v>
      </c>
      <c r="P193" s="392"/>
      <c r="Q193" s="392"/>
      <c r="R193" s="323"/>
      <c r="S193" s="284"/>
    </row>
    <row r="194" spans="1:19" s="866" customFormat="1" ht="71.099999999999994" customHeight="1">
      <c r="A194" s="360">
        <v>7</v>
      </c>
      <c r="B194" s="365" t="s">
        <v>1615</v>
      </c>
      <c r="C194" s="366" t="s">
        <v>89</v>
      </c>
      <c r="D194" s="365"/>
      <c r="E194" s="367" t="s">
        <v>860</v>
      </c>
      <c r="F194" s="368" t="s">
        <v>1614</v>
      </c>
      <c r="G194" s="368"/>
      <c r="H194" s="368" t="s">
        <v>1334</v>
      </c>
      <c r="I194" s="368"/>
      <c r="J194" s="311">
        <v>33600</v>
      </c>
      <c r="K194" s="311">
        <f t="shared" si="35"/>
        <v>33600</v>
      </c>
      <c r="L194" s="300">
        <v>100</v>
      </c>
      <c r="M194" s="300">
        <v>100</v>
      </c>
      <c r="N194" s="300">
        <v>0</v>
      </c>
      <c r="O194" s="300">
        <v>50</v>
      </c>
      <c r="P194" s="392"/>
      <c r="Q194" s="392"/>
      <c r="R194" s="323"/>
      <c r="S194" s="284"/>
    </row>
    <row r="195" spans="1:19" s="866" customFormat="1" ht="71.099999999999994" customHeight="1">
      <c r="A195" s="360">
        <v>8</v>
      </c>
      <c r="B195" s="365" t="s">
        <v>1616</v>
      </c>
      <c r="C195" s="366" t="s">
        <v>89</v>
      </c>
      <c r="D195" s="365"/>
      <c r="E195" s="367" t="s">
        <v>860</v>
      </c>
      <c r="F195" s="368" t="s">
        <v>1617</v>
      </c>
      <c r="G195" s="368"/>
      <c r="H195" s="368" t="s">
        <v>1334</v>
      </c>
      <c r="I195" s="368"/>
      <c r="J195" s="311">
        <v>25000</v>
      </c>
      <c r="K195" s="311">
        <f t="shared" si="35"/>
        <v>25000</v>
      </c>
      <c r="L195" s="300">
        <v>100</v>
      </c>
      <c r="M195" s="300">
        <v>100</v>
      </c>
      <c r="N195" s="300">
        <v>0</v>
      </c>
      <c r="O195" s="300">
        <v>50</v>
      </c>
      <c r="P195" s="392"/>
      <c r="Q195" s="392"/>
      <c r="R195" s="323"/>
      <c r="S195" s="284"/>
    </row>
    <row r="196" spans="1:19" s="866" customFormat="1" ht="69.599999999999994" customHeight="1">
      <c r="A196" s="360">
        <v>9</v>
      </c>
      <c r="B196" s="365" t="s">
        <v>1618</v>
      </c>
      <c r="C196" s="366" t="s">
        <v>89</v>
      </c>
      <c r="D196" s="365"/>
      <c r="E196" s="367" t="s">
        <v>860</v>
      </c>
      <c r="F196" s="368" t="s">
        <v>1617</v>
      </c>
      <c r="G196" s="368"/>
      <c r="H196" s="368" t="s">
        <v>1334</v>
      </c>
      <c r="I196" s="368"/>
      <c r="J196" s="311">
        <v>27000</v>
      </c>
      <c r="K196" s="311">
        <f t="shared" si="35"/>
        <v>27000</v>
      </c>
      <c r="L196" s="300">
        <v>100</v>
      </c>
      <c r="M196" s="300">
        <v>100</v>
      </c>
      <c r="N196" s="300">
        <v>0</v>
      </c>
      <c r="O196" s="300">
        <v>50</v>
      </c>
      <c r="P196" s="392"/>
      <c r="Q196" s="392"/>
      <c r="R196" s="323"/>
      <c r="S196" s="284"/>
    </row>
    <row r="197" spans="1:19" s="866" customFormat="1" ht="69.599999999999994" customHeight="1">
      <c r="A197" s="360">
        <v>10</v>
      </c>
      <c r="B197" s="365" t="s">
        <v>1619</v>
      </c>
      <c r="C197" s="366" t="s">
        <v>89</v>
      </c>
      <c r="D197" s="365"/>
      <c r="E197" s="367" t="s">
        <v>860</v>
      </c>
      <c r="F197" s="368" t="s">
        <v>1620</v>
      </c>
      <c r="G197" s="368"/>
      <c r="H197" s="368" t="s">
        <v>1334</v>
      </c>
      <c r="I197" s="368"/>
      <c r="J197" s="311">
        <v>25500</v>
      </c>
      <c r="K197" s="311">
        <f t="shared" si="35"/>
        <v>25500</v>
      </c>
      <c r="L197" s="300">
        <v>100</v>
      </c>
      <c r="M197" s="300">
        <v>100</v>
      </c>
      <c r="N197" s="300">
        <v>0</v>
      </c>
      <c r="O197" s="300">
        <v>50</v>
      </c>
      <c r="P197" s="392"/>
      <c r="Q197" s="392"/>
      <c r="R197" s="323"/>
      <c r="S197" s="284"/>
    </row>
    <row r="198" spans="1:19" s="866" customFormat="1" ht="69.599999999999994" customHeight="1">
      <c r="A198" s="360">
        <v>11</v>
      </c>
      <c r="B198" s="365" t="s">
        <v>1621</v>
      </c>
      <c r="C198" s="366" t="s">
        <v>89</v>
      </c>
      <c r="D198" s="365"/>
      <c r="E198" s="367" t="s">
        <v>860</v>
      </c>
      <c r="F198" s="368" t="s">
        <v>1620</v>
      </c>
      <c r="G198" s="368"/>
      <c r="H198" s="368" t="s">
        <v>1334</v>
      </c>
      <c r="I198" s="368"/>
      <c r="J198" s="311">
        <v>32100</v>
      </c>
      <c r="K198" s="311">
        <f t="shared" si="35"/>
        <v>32100</v>
      </c>
      <c r="L198" s="300">
        <v>100</v>
      </c>
      <c r="M198" s="300">
        <v>100</v>
      </c>
      <c r="N198" s="300">
        <v>0</v>
      </c>
      <c r="O198" s="300">
        <v>50</v>
      </c>
      <c r="P198" s="392"/>
      <c r="Q198" s="392"/>
      <c r="R198" s="323"/>
      <c r="S198" s="284"/>
    </row>
    <row r="199" spans="1:19" s="866" customFormat="1" ht="56.45" customHeight="1">
      <c r="A199" s="360">
        <v>12</v>
      </c>
      <c r="B199" s="365" t="s">
        <v>1622</v>
      </c>
      <c r="C199" s="366" t="s">
        <v>89</v>
      </c>
      <c r="D199" s="365"/>
      <c r="E199" s="367" t="s">
        <v>860</v>
      </c>
      <c r="F199" s="368" t="s">
        <v>1623</v>
      </c>
      <c r="G199" s="368"/>
      <c r="H199" s="368" t="s">
        <v>1334</v>
      </c>
      <c r="I199" s="368"/>
      <c r="J199" s="311">
        <v>26700</v>
      </c>
      <c r="K199" s="311"/>
      <c r="L199" s="300">
        <v>0</v>
      </c>
      <c r="M199" s="300">
        <v>0</v>
      </c>
      <c r="N199" s="300">
        <v>0</v>
      </c>
      <c r="O199" s="300">
        <f t="shared" ref="O199:O200" si="36">K199</f>
        <v>0</v>
      </c>
      <c r="P199" s="392"/>
      <c r="Q199" s="392"/>
      <c r="R199" s="297" t="s">
        <v>1839</v>
      </c>
      <c r="S199" s="284"/>
    </row>
    <row r="200" spans="1:19" s="866" customFormat="1" ht="56.45" customHeight="1">
      <c r="A200" s="360">
        <v>13</v>
      </c>
      <c r="B200" s="365" t="s">
        <v>1624</v>
      </c>
      <c r="C200" s="366" t="s">
        <v>89</v>
      </c>
      <c r="D200" s="365"/>
      <c r="E200" s="367" t="s">
        <v>860</v>
      </c>
      <c r="F200" s="368" t="s">
        <v>1623</v>
      </c>
      <c r="G200" s="368"/>
      <c r="H200" s="368" t="s">
        <v>1334</v>
      </c>
      <c r="I200" s="368"/>
      <c r="J200" s="311">
        <v>9015</v>
      </c>
      <c r="K200" s="311"/>
      <c r="L200" s="300">
        <v>0</v>
      </c>
      <c r="M200" s="300">
        <v>0</v>
      </c>
      <c r="N200" s="300">
        <v>0</v>
      </c>
      <c r="O200" s="300">
        <f t="shared" si="36"/>
        <v>0</v>
      </c>
      <c r="P200" s="392"/>
      <c r="Q200" s="392"/>
      <c r="R200" s="297" t="s">
        <v>1839</v>
      </c>
      <c r="S200" s="284"/>
    </row>
    <row r="201" spans="1:19" s="866" customFormat="1" ht="56.45" customHeight="1">
      <c r="A201" s="360">
        <v>14</v>
      </c>
      <c r="B201" s="365" t="s">
        <v>1625</v>
      </c>
      <c r="C201" s="366" t="s">
        <v>89</v>
      </c>
      <c r="D201" s="365"/>
      <c r="E201" s="367" t="s">
        <v>860</v>
      </c>
      <c r="F201" s="368" t="s">
        <v>1626</v>
      </c>
      <c r="G201" s="368"/>
      <c r="H201" s="368" t="s">
        <v>1334</v>
      </c>
      <c r="I201" s="368"/>
      <c r="J201" s="311">
        <v>37400</v>
      </c>
      <c r="K201" s="311">
        <f t="shared" si="35"/>
        <v>37400</v>
      </c>
      <c r="L201" s="300">
        <v>100</v>
      </c>
      <c r="M201" s="300">
        <v>100</v>
      </c>
      <c r="N201" s="300">
        <v>0</v>
      </c>
      <c r="O201" s="300">
        <v>50</v>
      </c>
      <c r="P201" s="392"/>
      <c r="Q201" s="392"/>
      <c r="R201" s="323"/>
      <c r="S201" s="284"/>
    </row>
    <row r="202" spans="1:19" s="866" customFormat="1" ht="74.45" customHeight="1">
      <c r="A202" s="360">
        <v>15</v>
      </c>
      <c r="B202" s="365" t="s">
        <v>2154</v>
      </c>
      <c r="C202" s="366" t="s">
        <v>88</v>
      </c>
      <c r="D202" s="365"/>
      <c r="E202" s="367" t="s">
        <v>860</v>
      </c>
      <c r="F202" s="368" t="s">
        <v>1627</v>
      </c>
      <c r="G202" s="368"/>
      <c r="H202" s="368" t="s">
        <v>1334</v>
      </c>
      <c r="I202" s="368"/>
      <c r="J202" s="311">
        <v>80000</v>
      </c>
      <c r="K202" s="311">
        <f t="shared" si="35"/>
        <v>80000</v>
      </c>
      <c r="L202" s="300">
        <v>100</v>
      </c>
      <c r="M202" s="300">
        <v>100</v>
      </c>
      <c r="N202" s="300">
        <v>0</v>
      </c>
      <c r="O202" s="300">
        <v>50</v>
      </c>
      <c r="P202" s="392"/>
      <c r="Q202" s="392"/>
      <c r="R202" s="323"/>
      <c r="S202" s="284"/>
    </row>
    <row r="203" spans="1:19" s="866" customFormat="1" ht="74.45" customHeight="1">
      <c r="A203" s="360">
        <v>16</v>
      </c>
      <c r="B203" s="365" t="s">
        <v>1628</v>
      </c>
      <c r="C203" s="366" t="s">
        <v>89</v>
      </c>
      <c r="D203" s="365"/>
      <c r="E203" s="367" t="s">
        <v>860</v>
      </c>
      <c r="F203" s="368" t="s">
        <v>1627</v>
      </c>
      <c r="G203" s="368"/>
      <c r="H203" s="368" t="s">
        <v>1334</v>
      </c>
      <c r="I203" s="368"/>
      <c r="J203" s="311">
        <v>27700</v>
      </c>
      <c r="K203" s="311">
        <f t="shared" si="35"/>
        <v>27700</v>
      </c>
      <c r="L203" s="300">
        <v>100</v>
      </c>
      <c r="M203" s="300">
        <v>100</v>
      </c>
      <c r="N203" s="300">
        <v>0</v>
      </c>
      <c r="O203" s="300">
        <v>50</v>
      </c>
      <c r="P203" s="392"/>
      <c r="Q203" s="392"/>
      <c r="R203" s="323"/>
      <c r="S203" s="284"/>
    </row>
    <row r="204" spans="1:19" s="866" customFormat="1" ht="40.5" customHeight="1">
      <c r="A204" s="360">
        <v>17</v>
      </c>
      <c r="B204" s="365" t="s">
        <v>1629</v>
      </c>
      <c r="C204" s="366"/>
      <c r="D204" s="365"/>
      <c r="E204" s="367" t="s">
        <v>860</v>
      </c>
      <c r="F204" s="368" t="s">
        <v>936</v>
      </c>
      <c r="G204" s="368"/>
      <c r="H204" s="368" t="s">
        <v>1334</v>
      </c>
      <c r="I204" s="368"/>
      <c r="J204" s="311">
        <v>17367</v>
      </c>
      <c r="K204" s="311">
        <f>J204*0.7</f>
        <v>12156.9</v>
      </c>
      <c r="L204" s="300">
        <v>100</v>
      </c>
      <c r="M204" s="300">
        <v>100</v>
      </c>
      <c r="N204" s="300">
        <v>0</v>
      </c>
      <c r="O204" s="300">
        <v>50</v>
      </c>
      <c r="P204" s="392"/>
      <c r="Q204" s="392"/>
      <c r="R204" s="297"/>
      <c r="S204" s="284"/>
    </row>
    <row r="205" spans="1:19" s="865" customFormat="1" ht="99.95" customHeight="1">
      <c r="A205" s="839" t="s">
        <v>150</v>
      </c>
      <c r="B205" s="292" t="s">
        <v>1630</v>
      </c>
      <c r="C205" s="839"/>
      <c r="D205" s="839"/>
      <c r="E205" s="839"/>
      <c r="F205" s="839"/>
      <c r="G205" s="839"/>
      <c r="H205" s="839"/>
      <c r="I205" s="290"/>
      <c r="J205" s="291">
        <f t="shared" ref="J205:L205" si="37">J206+J220</f>
        <v>372063</v>
      </c>
      <c r="K205" s="291">
        <f t="shared" si="37"/>
        <v>322613.40000000002</v>
      </c>
      <c r="L205" s="291">
        <f t="shared" si="37"/>
        <v>178696</v>
      </c>
      <c r="M205" s="291">
        <f>M206+M220</f>
        <v>178696</v>
      </c>
      <c r="N205" s="291">
        <f t="shared" ref="N205:Q205" si="38">N206+N220</f>
        <v>135321</v>
      </c>
      <c r="O205" s="291">
        <f t="shared" si="38"/>
        <v>178696</v>
      </c>
      <c r="P205" s="291">
        <f t="shared" si="38"/>
        <v>9760</v>
      </c>
      <c r="Q205" s="291">
        <f t="shared" si="38"/>
        <v>9760</v>
      </c>
      <c r="R205" s="461"/>
      <c r="S205" s="289"/>
    </row>
    <row r="206" spans="1:19" s="865" customFormat="1" ht="99.95" customHeight="1">
      <c r="A206" s="839" t="s">
        <v>279</v>
      </c>
      <c r="B206" s="372" t="s">
        <v>1844</v>
      </c>
      <c r="C206" s="839"/>
      <c r="D206" s="839"/>
      <c r="E206" s="839"/>
      <c r="F206" s="839"/>
      <c r="G206" s="839"/>
      <c r="H206" s="839"/>
      <c r="I206" s="290"/>
      <c r="J206" s="291">
        <f t="shared" ref="J206:L206" si="39">SUM(J207:J219)</f>
        <v>156626</v>
      </c>
      <c r="K206" s="291">
        <f t="shared" si="39"/>
        <v>136786.5</v>
      </c>
      <c r="L206" s="291">
        <f t="shared" si="39"/>
        <v>63873</v>
      </c>
      <c r="M206" s="291">
        <f>SUM(M207:M219)</f>
        <v>63873</v>
      </c>
      <c r="N206" s="291">
        <f t="shared" ref="N206:Q206" si="40">SUM(N207:N219)</f>
        <v>63873</v>
      </c>
      <c r="O206" s="291">
        <f t="shared" si="40"/>
        <v>63873</v>
      </c>
      <c r="P206" s="291">
        <f t="shared" si="40"/>
        <v>0</v>
      </c>
      <c r="Q206" s="291">
        <f t="shared" si="40"/>
        <v>0</v>
      </c>
      <c r="R206" s="298"/>
      <c r="S206" s="289"/>
    </row>
    <row r="207" spans="1:19" s="865" customFormat="1" ht="139.5" customHeight="1">
      <c r="A207" s="343">
        <v>1</v>
      </c>
      <c r="B207" s="369" t="s">
        <v>1631</v>
      </c>
      <c r="C207" s="279" t="s">
        <v>89</v>
      </c>
      <c r="D207" s="314" t="s">
        <v>1632</v>
      </c>
      <c r="E207" s="330" t="s">
        <v>823</v>
      </c>
      <c r="F207" s="331" t="s">
        <v>844</v>
      </c>
      <c r="G207" s="296" t="s">
        <v>1279</v>
      </c>
      <c r="H207" s="296" t="s">
        <v>661</v>
      </c>
      <c r="I207" s="346" t="s">
        <v>2088</v>
      </c>
      <c r="J207" s="370">
        <v>29988</v>
      </c>
      <c r="K207" s="312">
        <f>0.9*J207</f>
        <v>26989.200000000001</v>
      </c>
      <c r="L207" s="311">
        <v>15165</v>
      </c>
      <c r="M207" s="312">
        <v>15165</v>
      </c>
      <c r="N207" s="312">
        <v>15165</v>
      </c>
      <c r="O207" s="312">
        <v>15165</v>
      </c>
      <c r="P207" s="393">
        <f t="shared" ref="P207:P219" si="41">O207-M207</f>
        <v>0</v>
      </c>
      <c r="Q207" s="393">
        <f>M207-N207</f>
        <v>0</v>
      </c>
      <c r="R207" s="298"/>
      <c r="S207" s="289"/>
    </row>
    <row r="208" spans="1:19" s="865" customFormat="1" ht="83.45" customHeight="1">
      <c r="A208" s="343">
        <v>2</v>
      </c>
      <c r="B208" s="369" t="s">
        <v>1633</v>
      </c>
      <c r="C208" s="279" t="s">
        <v>89</v>
      </c>
      <c r="D208" s="314" t="s">
        <v>1634</v>
      </c>
      <c r="E208" s="330" t="s">
        <v>823</v>
      </c>
      <c r="F208" s="331" t="s">
        <v>844</v>
      </c>
      <c r="G208" s="331" t="s">
        <v>2187</v>
      </c>
      <c r="H208" s="296" t="s">
        <v>661</v>
      </c>
      <c r="I208" s="331" t="s">
        <v>2089</v>
      </c>
      <c r="J208" s="370">
        <v>10276</v>
      </c>
      <c r="K208" s="312">
        <f>0.8*J208</f>
        <v>8220.8000000000011</v>
      </c>
      <c r="L208" s="311">
        <v>2983</v>
      </c>
      <c r="M208" s="282">
        <v>2983</v>
      </c>
      <c r="N208" s="312">
        <v>2983</v>
      </c>
      <c r="O208" s="312">
        <v>2983</v>
      </c>
      <c r="P208" s="393">
        <f t="shared" si="41"/>
        <v>0</v>
      </c>
      <c r="Q208" s="393"/>
      <c r="R208" s="298"/>
      <c r="S208" s="289"/>
    </row>
    <row r="209" spans="1:19" s="865" customFormat="1" ht="80.099999999999994" customHeight="1">
      <c r="A209" s="343">
        <v>3</v>
      </c>
      <c r="B209" s="369" t="s">
        <v>1635</v>
      </c>
      <c r="C209" s="279" t="s">
        <v>89</v>
      </c>
      <c r="D209" s="345" t="s">
        <v>1636</v>
      </c>
      <c r="E209" s="330" t="s">
        <v>823</v>
      </c>
      <c r="F209" s="331" t="s">
        <v>832</v>
      </c>
      <c r="G209" s="296" t="s">
        <v>1279</v>
      </c>
      <c r="H209" s="296" t="s">
        <v>661</v>
      </c>
      <c r="I209" s="346" t="s">
        <v>2090</v>
      </c>
      <c r="J209" s="370">
        <v>34647</v>
      </c>
      <c r="K209" s="312">
        <f>0.9*J209</f>
        <v>31182.3</v>
      </c>
      <c r="L209" s="311">
        <v>13780</v>
      </c>
      <c r="M209" s="282">
        <v>13780</v>
      </c>
      <c r="N209" s="312">
        <v>13780</v>
      </c>
      <c r="O209" s="312">
        <v>13780</v>
      </c>
      <c r="P209" s="393">
        <f t="shared" si="41"/>
        <v>0</v>
      </c>
      <c r="Q209" s="393">
        <f>M209-N209</f>
        <v>0</v>
      </c>
      <c r="R209" s="298"/>
      <c r="S209" s="289"/>
    </row>
    <row r="210" spans="1:19" s="865" customFormat="1" ht="102.95" customHeight="1">
      <c r="A210" s="343">
        <v>4</v>
      </c>
      <c r="B210" s="371" t="s">
        <v>1637</v>
      </c>
      <c r="C210" s="279" t="s">
        <v>89</v>
      </c>
      <c r="D210" s="314" t="s">
        <v>1638</v>
      </c>
      <c r="E210" s="330" t="s">
        <v>823</v>
      </c>
      <c r="F210" s="331" t="s">
        <v>832</v>
      </c>
      <c r="G210" s="296" t="s">
        <v>2188</v>
      </c>
      <c r="H210" s="296" t="s">
        <v>661</v>
      </c>
      <c r="I210" s="346" t="s">
        <v>2091</v>
      </c>
      <c r="J210" s="311">
        <v>14415</v>
      </c>
      <c r="K210" s="312">
        <f>J210*0.8</f>
        <v>11532</v>
      </c>
      <c r="L210" s="311">
        <v>5560</v>
      </c>
      <c r="M210" s="282">
        <v>5560</v>
      </c>
      <c r="N210" s="312">
        <v>5560</v>
      </c>
      <c r="O210" s="312">
        <v>5560</v>
      </c>
      <c r="P210" s="393">
        <f t="shared" si="41"/>
        <v>0</v>
      </c>
      <c r="Q210" s="393">
        <f>M210-N210</f>
        <v>0</v>
      </c>
      <c r="R210" s="298"/>
      <c r="S210" s="289"/>
    </row>
    <row r="211" spans="1:19" s="865" customFormat="1" ht="99.95" customHeight="1">
      <c r="A211" s="343">
        <v>5</v>
      </c>
      <c r="B211" s="371" t="s">
        <v>1639</v>
      </c>
      <c r="C211" s="279" t="s">
        <v>89</v>
      </c>
      <c r="D211" s="314" t="s">
        <v>1640</v>
      </c>
      <c r="E211" s="330" t="s">
        <v>823</v>
      </c>
      <c r="F211" s="331" t="s">
        <v>1641</v>
      </c>
      <c r="G211" s="298" t="s">
        <v>1279</v>
      </c>
      <c r="H211" s="296" t="s">
        <v>661</v>
      </c>
      <c r="I211" s="296" t="s">
        <v>2092</v>
      </c>
      <c r="J211" s="311">
        <v>13847</v>
      </c>
      <c r="K211" s="311">
        <f>J211*0.9</f>
        <v>12462.300000000001</v>
      </c>
      <c r="L211" s="311">
        <v>4770</v>
      </c>
      <c r="M211" s="282">
        <v>4770</v>
      </c>
      <c r="N211" s="312">
        <v>4770</v>
      </c>
      <c r="O211" s="312">
        <v>4770</v>
      </c>
      <c r="P211" s="393">
        <f t="shared" si="41"/>
        <v>0</v>
      </c>
      <c r="Q211" s="393">
        <f>M211-N211</f>
        <v>0</v>
      </c>
      <c r="R211" s="203"/>
      <c r="S211" s="289"/>
    </row>
    <row r="212" spans="1:19" s="865" customFormat="1" ht="75.95" customHeight="1">
      <c r="A212" s="343">
        <v>6</v>
      </c>
      <c r="B212" s="315" t="s">
        <v>1642</v>
      </c>
      <c r="C212" s="279" t="s">
        <v>89</v>
      </c>
      <c r="D212" s="330" t="s">
        <v>1643</v>
      </c>
      <c r="E212" s="330" t="s">
        <v>823</v>
      </c>
      <c r="F212" s="331" t="s">
        <v>844</v>
      </c>
      <c r="G212" s="296" t="s">
        <v>1279</v>
      </c>
      <c r="H212" s="296" t="s">
        <v>661</v>
      </c>
      <c r="I212" s="296" t="s">
        <v>2093</v>
      </c>
      <c r="J212" s="312">
        <v>8716</v>
      </c>
      <c r="K212" s="312">
        <f>0.9*J212</f>
        <v>7844.4000000000005</v>
      </c>
      <c r="L212" s="311">
        <v>4037</v>
      </c>
      <c r="M212" s="282">
        <v>4037</v>
      </c>
      <c r="N212" s="312">
        <v>4037</v>
      </c>
      <c r="O212" s="312">
        <v>4037</v>
      </c>
      <c r="P212" s="393">
        <f t="shared" si="41"/>
        <v>0</v>
      </c>
      <c r="Q212" s="393">
        <f>M212-N212</f>
        <v>0</v>
      </c>
      <c r="R212" s="298"/>
      <c r="S212" s="289"/>
    </row>
    <row r="213" spans="1:19" s="865" customFormat="1" ht="77.099999999999994" customHeight="1">
      <c r="A213" s="343">
        <v>7</v>
      </c>
      <c r="B213" s="315" t="s">
        <v>1644</v>
      </c>
      <c r="C213" s="279" t="s">
        <v>89</v>
      </c>
      <c r="D213" s="330" t="s">
        <v>1645</v>
      </c>
      <c r="E213" s="330" t="s">
        <v>823</v>
      </c>
      <c r="F213" s="331" t="s">
        <v>832</v>
      </c>
      <c r="G213" s="296" t="s">
        <v>1259</v>
      </c>
      <c r="H213" s="296" t="s">
        <v>661</v>
      </c>
      <c r="I213" s="296" t="s">
        <v>2094</v>
      </c>
      <c r="J213" s="312">
        <v>10096</v>
      </c>
      <c r="K213" s="312">
        <f>0.9*J213</f>
        <v>9086.4</v>
      </c>
      <c r="L213" s="311">
        <v>2607</v>
      </c>
      <c r="M213" s="311">
        <v>2607</v>
      </c>
      <c r="N213" s="312">
        <v>2607</v>
      </c>
      <c r="O213" s="312">
        <v>2607</v>
      </c>
      <c r="P213" s="393">
        <f t="shared" si="41"/>
        <v>0</v>
      </c>
      <c r="Q213" s="393"/>
      <c r="R213" s="203"/>
      <c r="S213" s="289"/>
    </row>
    <row r="214" spans="1:19" s="865" customFormat="1" ht="93" customHeight="1">
      <c r="A214" s="343">
        <v>8</v>
      </c>
      <c r="B214" s="315" t="s">
        <v>1646</v>
      </c>
      <c r="C214" s="279" t="s">
        <v>89</v>
      </c>
      <c r="D214" s="314" t="s">
        <v>1647</v>
      </c>
      <c r="E214" s="330" t="s">
        <v>823</v>
      </c>
      <c r="F214" s="331" t="s">
        <v>832</v>
      </c>
      <c r="G214" s="296" t="s">
        <v>1259</v>
      </c>
      <c r="H214" s="296" t="s">
        <v>661</v>
      </c>
      <c r="I214" s="296" t="s">
        <v>2095</v>
      </c>
      <c r="J214" s="312">
        <v>11117</v>
      </c>
      <c r="K214" s="312">
        <f>0.9*J214</f>
        <v>10005.300000000001</v>
      </c>
      <c r="L214" s="311">
        <v>4582</v>
      </c>
      <c r="M214" s="311">
        <v>4582</v>
      </c>
      <c r="N214" s="312">
        <v>4582</v>
      </c>
      <c r="O214" s="312">
        <v>4582</v>
      </c>
      <c r="P214" s="393">
        <f t="shared" si="41"/>
        <v>0</v>
      </c>
      <c r="Q214" s="393"/>
      <c r="R214" s="203"/>
      <c r="S214" s="289"/>
    </row>
    <row r="215" spans="1:19" s="865" customFormat="1" ht="87.95" customHeight="1">
      <c r="A215" s="343">
        <v>9</v>
      </c>
      <c r="B215" s="315" t="s">
        <v>1648</v>
      </c>
      <c r="C215" s="279" t="s">
        <v>89</v>
      </c>
      <c r="D215" s="330" t="s">
        <v>1649</v>
      </c>
      <c r="E215" s="330" t="s">
        <v>823</v>
      </c>
      <c r="F215" s="331" t="s">
        <v>832</v>
      </c>
      <c r="G215" s="296" t="s">
        <v>1341</v>
      </c>
      <c r="H215" s="296" t="s">
        <v>661</v>
      </c>
      <c r="I215" s="296" t="s">
        <v>2096</v>
      </c>
      <c r="J215" s="312">
        <v>14985</v>
      </c>
      <c r="K215" s="312">
        <f>0.9*J215</f>
        <v>13486.5</v>
      </c>
      <c r="L215" s="311">
        <v>9409</v>
      </c>
      <c r="M215" s="311">
        <v>9409</v>
      </c>
      <c r="N215" s="312">
        <v>9409</v>
      </c>
      <c r="O215" s="312">
        <v>9409</v>
      </c>
      <c r="P215" s="393">
        <f t="shared" si="41"/>
        <v>0</v>
      </c>
      <c r="Q215" s="393"/>
      <c r="R215" s="203"/>
      <c r="S215" s="289"/>
    </row>
    <row r="216" spans="1:19" s="865" customFormat="1" ht="81" customHeight="1">
      <c r="A216" s="343">
        <v>10</v>
      </c>
      <c r="B216" s="315" t="s">
        <v>1650</v>
      </c>
      <c r="C216" s="279" t="s">
        <v>89</v>
      </c>
      <c r="D216" s="330" t="s">
        <v>1651</v>
      </c>
      <c r="E216" s="330" t="s">
        <v>823</v>
      </c>
      <c r="F216" s="331" t="s">
        <v>832</v>
      </c>
      <c r="G216" s="296" t="s">
        <v>1259</v>
      </c>
      <c r="H216" s="296" t="s">
        <v>661</v>
      </c>
      <c r="I216" s="296" t="s">
        <v>2097</v>
      </c>
      <c r="J216" s="312">
        <v>3310</v>
      </c>
      <c r="K216" s="312">
        <f>J216*0.7</f>
        <v>2317</v>
      </c>
      <c r="L216" s="311">
        <v>300</v>
      </c>
      <c r="M216" s="311">
        <v>300</v>
      </c>
      <c r="N216" s="312">
        <v>300</v>
      </c>
      <c r="O216" s="312">
        <v>300</v>
      </c>
      <c r="P216" s="393">
        <f t="shared" si="41"/>
        <v>0</v>
      </c>
      <c r="Q216" s="393">
        <f t="shared" ref="Q216:Q223" si="42">M216-N216</f>
        <v>0</v>
      </c>
      <c r="R216" s="203"/>
      <c r="S216" s="289"/>
    </row>
    <row r="217" spans="1:19" s="867" customFormat="1" ht="68.099999999999994" customHeight="1">
      <c r="A217" s="343">
        <v>11</v>
      </c>
      <c r="B217" s="281" t="s">
        <v>1652</v>
      </c>
      <c r="C217" s="279" t="s">
        <v>89</v>
      </c>
      <c r="D217" s="278" t="s">
        <v>1653</v>
      </c>
      <c r="E217" s="296" t="s">
        <v>1654</v>
      </c>
      <c r="F217" s="297" t="s">
        <v>1655</v>
      </c>
      <c r="G217" s="296" t="s">
        <v>1259</v>
      </c>
      <c r="H217" s="296" t="s">
        <v>1025</v>
      </c>
      <c r="I217" s="296" t="s">
        <v>2098</v>
      </c>
      <c r="J217" s="311">
        <v>1659</v>
      </c>
      <c r="K217" s="311">
        <f>J217*0.7</f>
        <v>1161.3</v>
      </c>
      <c r="L217" s="311">
        <v>160</v>
      </c>
      <c r="M217" s="311">
        <v>160</v>
      </c>
      <c r="N217" s="312">
        <v>160</v>
      </c>
      <c r="O217" s="312">
        <v>160</v>
      </c>
      <c r="P217" s="393">
        <f t="shared" si="41"/>
        <v>0</v>
      </c>
      <c r="Q217" s="393">
        <f t="shared" si="42"/>
        <v>0</v>
      </c>
      <c r="R217" s="203"/>
      <c r="S217" s="313"/>
    </row>
    <row r="218" spans="1:19" s="867" customFormat="1" ht="102" customHeight="1">
      <c r="A218" s="343">
        <v>12</v>
      </c>
      <c r="B218" s="281" t="s">
        <v>1656</v>
      </c>
      <c r="C218" s="279" t="s">
        <v>89</v>
      </c>
      <c r="D218" s="278" t="s">
        <v>1657</v>
      </c>
      <c r="E218" s="296" t="s">
        <v>1658</v>
      </c>
      <c r="F218" s="297" t="s">
        <v>836</v>
      </c>
      <c r="G218" s="296" t="s">
        <v>1259</v>
      </c>
      <c r="H218" s="296" t="s">
        <v>1025</v>
      </c>
      <c r="I218" s="296" t="s">
        <v>2099</v>
      </c>
      <c r="J218" s="311">
        <v>1756</v>
      </c>
      <c r="K218" s="311">
        <f>J218*0.7</f>
        <v>1229.1999999999998</v>
      </c>
      <c r="L218" s="311">
        <v>150</v>
      </c>
      <c r="M218" s="311">
        <v>150</v>
      </c>
      <c r="N218" s="312">
        <v>150</v>
      </c>
      <c r="O218" s="312">
        <v>150</v>
      </c>
      <c r="P218" s="393">
        <f t="shared" si="41"/>
        <v>0</v>
      </c>
      <c r="Q218" s="393">
        <f t="shared" si="42"/>
        <v>0</v>
      </c>
      <c r="R218" s="203"/>
      <c r="S218" s="313"/>
    </row>
    <row r="219" spans="1:19" s="867" customFormat="1" ht="45.6" customHeight="1">
      <c r="A219" s="343">
        <v>13</v>
      </c>
      <c r="B219" s="281" t="s">
        <v>1659</v>
      </c>
      <c r="C219" s="279" t="s">
        <v>89</v>
      </c>
      <c r="D219" s="278">
        <v>7828917</v>
      </c>
      <c r="E219" s="296" t="s">
        <v>1654</v>
      </c>
      <c r="F219" s="297" t="s">
        <v>1655</v>
      </c>
      <c r="G219" s="296" t="s">
        <v>1259</v>
      </c>
      <c r="H219" s="296" t="s">
        <v>1025</v>
      </c>
      <c r="I219" s="296" t="s">
        <v>2100</v>
      </c>
      <c r="J219" s="311">
        <v>1814</v>
      </c>
      <c r="K219" s="311">
        <f>J219*0.7</f>
        <v>1269.8</v>
      </c>
      <c r="L219" s="311">
        <v>370</v>
      </c>
      <c r="M219" s="311">
        <v>370</v>
      </c>
      <c r="N219" s="312">
        <v>370</v>
      </c>
      <c r="O219" s="312">
        <v>370</v>
      </c>
      <c r="P219" s="393">
        <f t="shared" si="41"/>
        <v>0</v>
      </c>
      <c r="Q219" s="393">
        <f t="shared" si="42"/>
        <v>0</v>
      </c>
      <c r="R219" s="203"/>
      <c r="S219" s="313"/>
    </row>
    <row r="220" spans="1:19" s="875" customFormat="1" ht="99.95" customHeight="1">
      <c r="A220" s="420" t="s">
        <v>98</v>
      </c>
      <c r="B220" s="372" t="s">
        <v>685</v>
      </c>
      <c r="C220" s="373"/>
      <c r="D220" s="374"/>
      <c r="E220" s="841"/>
      <c r="F220" s="458"/>
      <c r="G220" s="841"/>
      <c r="H220" s="841"/>
      <c r="I220" s="841"/>
      <c r="J220" s="376">
        <f t="shared" ref="J220:L220" si="43">SUM(J221:J237)</f>
        <v>215437</v>
      </c>
      <c r="K220" s="376">
        <f t="shared" si="43"/>
        <v>185826.9</v>
      </c>
      <c r="L220" s="376">
        <f t="shared" si="43"/>
        <v>114823</v>
      </c>
      <c r="M220" s="376">
        <f>SUM(M221:M237)</f>
        <v>114823</v>
      </c>
      <c r="N220" s="376">
        <f t="shared" ref="N220:Q220" si="44">SUM(N221:N237)</f>
        <v>71448</v>
      </c>
      <c r="O220" s="376">
        <f t="shared" si="44"/>
        <v>114823</v>
      </c>
      <c r="P220" s="376">
        <f t="shared" si="44"/>
        <v>9760</v>
      </c>
      <c r="Q220" s="376">
        <f t="shared" si="44"/>
        <v>9760</v>
      </c>
      <c r="R220" s="380"/>
      <c r="S220" s="856"/>
    </row>
    <row r="221" spans="1:19" s="865" customFormat="1" ht="117.95" customHeight="1">
      <c r="A221" s="343">
        <v>1</v>
      </c>
      <c r="B221" s="315" t="s">
        <v>1660</v>
      </c>
      <c r="C221" s="279" t="s">
        <v>89</v>
      </c>
      <c r="D221" s="314" t="s">
        <v>1661</v>
      </c>
      <c r="E221" s="330" t="s">
        <v>823</v>
      </c>
      <c r="F221" s="331" t="s">
        <v>1662</v>
      </c>
      <c r="G221" s="296" t="s">
        <v>2181</v>
      </c>
      <c r="H221" s="296" t="s">
        <v>661</v>
      </c>
      <c r="I221" s="296" t="s">
        <v>2101</v>
      </c>
      <c r="J221" s="312">
        <v>1775</v>
      </c>
      <c r="K221" s="312">
        <f>J221*0.9</f>
        <v>1597.5</v>
      </c>
      <c r="L221" s="312">
        <v>1378</v>
      </c>
      <c r="M221" s="282">
        <v>1378</v>
      </c>
      <c r="N221" s="312">
        <v>1378</v>
      </c>
      <c r="O221" s="312">
        <v>1378</v>
      </c>
      <c r="P221" s="393"/>
      <c r="Q221" s="393">
        <f t="shared" si="42"/>
        <v>0</v>
      </c>
      <c r="R221" s="298"/>
      <c r="S221" s="289"/>
    </row>
    <row r="222" spans="1:19" s="865" customFormat="1" ht="99.95" customHeight="1">
      <c r="A222" s="343">
        <v>2</v>
      </c>
      <c r="B222" s="315" t="s">
        <v>1663</v>
      </c>
      <c r="C222" s="279" t="s">
        <v>89</v>
      </c>
      <c r="D222" s="314" t="s">
        <v>1664</v>
      </c>
      <c r="E222" s="330" t="s">
        <v>823</v>
      </c>
      <c r="F222" s="331" t="s">
        <v>1665</v>
      </c>
      <c r="G222" s="296" t="s">
        <v>2181</v>
      </c>
      <c r="H222" s="296" t="s">
        <v>661</v>
      </c>
      <c r="I222" s="296" t="s">
        <v>2102</v>
      </c>
      <c r="J222" s="312">
        <v>1776</v>
      </c>
      <c r="K222" s="312">
        <f>J222*0.9</f>
        <v>1598.4</v>
      </c>
      <c r="L222" s="312">
        <v>1449</v>
      </c>
      <c r="M222" s="282">
        <v>1449</v>
      </c>
      <c r="N222" s="312">
        <v>1449</v>
      </c>
      <c r="O222" s="312">
        <v>1449</v>
      </c>
      <c r="P222" s="393"/>
      <c r="Q222" s="393">
        <f t="shared" si="42"/>
        <v>0</v>
      </c>
      <c r="R222" s="298"/>
      <c r="S222" s="289"/>
    </row>
    <row r="223" spans="1:19" s="865" customFormat="1" ht="178.5" customHeight="1">
      <c r="A223" s="343">
        <v>3</v>
      </c>
      <c r="B223" s="315" t="s">
        <v>1666</v>
      </c>
      <c r="C223" s="279" t="s">
        <v>89</v>
      </c>
      <c r="D223" s="314" t="s">
        <v>1667</v>
      </c>
      <c r="E223" s="330" t="s">
        <v>823</v>
      </c>
      <c r="F223" s="331" t="s">
        <v>1668</v>
      </c>
      <c r="G223" s="296" t="s">
        <v>2181</v>
      </c>
      <c r="H223" s="296" t="s">
        <v>661</v>
      </c>
      <c r="I223" s="296" t="s">
        <v>2103</v>
      </c>
      <c r="J223" s="312">
        <v>2000</v>
      </c>
      <c r="K223" s="312">
        <f>J223*0.9</f>
        <v>1800</v>
      </c>
      <c r="L223" s="312">
        <v>1717</v>
      </c>
      <c r="M223" s="282">
        <v>1717</v>
      </c>
      <c r="N223" s="312">
        <v>1717</v>
      </c>
      <c r="O223" s="312">
        <v>1717</v>
      </c>
      <c r="P223" s="393"/>
      <c r="Q223" s="393">
        <f t="shared" si="42"/>
        <v>0</v>
      </c>
      <c r="R223" s="298"/>
      <c r="S223" s="289"/>
    </row>
    <row r="224" spans="1:19" s="865" customFormat="1" ht="89.25" customHeight="1">
      <c r="A224" s="343">
        <v>4</v>
      </c>
      <c r="B224" s="315" t="s">
        <v>1669</v>
      </c>
      <c r="C224" s="279" t="s">
        <v>89</v>
      </c>
      <c r="D224" s="314" t="s">
        <v>1670</v>
      </c>
      <c r="E224" s="330" t="s">
        <v>823</v>
      </c>
      <c r="F224" s="331" t="s">
        <v>1671</v>
      </c>
      <c r="G224" s="296" t="s">
        <v>2181</v>
      </c>
      <c r="H224" s="296" t="s">
        <v>661</v>
      </c>
      <c r="I224" s="296" t="s">
        <v>2104</v>
      </c>
      <c r="J224" s="312">
        <v>2300</v>
      </c>
      <c r="K224" s="312">
        <f>J224*0.9</f>
        <v>2070</v>
      </c>
      <c r="L224" s="312">
        <v>1677</v>
      </c>
      <c r="M224" s="282">
        <v>1677</v>
      </c>
      <c r="N224" s="312">
        <v>1677</v>
      </c>
      <c r="O224" s="312">
        <v>1677</v>
      </c>
      <c r="P224" s="393">
        <f>N224-M224</f>
        <v>0</v>
      </c>
      <c r="Q224" s="393"/>
      <c r="R224" s="298"/>
      <c r="S224" s="289"/>
    </row>
    <row r="225" spans="1:19" s="865" customFormat="1" ht="89.25" customHeight="1">
      <c r="A225" s="343">
        <v>5</v>
      </c>
      <c r="B225" s="334" t="s">
        <v>1672</v>
      </c>
      <c r="C225" s="279" t="s">
        <v>89</v>
      </c>
      <c r="D225" s="278">
        <v>7864264</v>
      </c>
      <c r="E225" s="330" t="s">
        <v>823</v>
      </c>
      <c r="F225" s="279" t="s">
        <v>852</v>
      </c>
      <c r="G225" s="297" t="s">
        <v>2189</v>
      </c>
      <c r="H225" s="297" t="s">
        <v>1318</v>
      </c>
      <c r="I225" s="320" t="s">
        <v>2105</v>
      </c>
      <c r="J225" s="280">
        <v>11000</v>
      </c>
      <c r="K225" s="321">
        <f>J225*0.8</f>
        <v>8800</v>
      </c>
      <c r="L225" s="321">
        <v>8800</v>
      </c>
      <c r="M225" s="311">
        <v>8800</v>
      </c>
      <c r="N225" s="312">
        <v>8017</v>
      </c>
      <c r="O225" s="312">
        <v>8017</v>
      </c>
      <c r="P225" s="399"/>
      <c r="Q225" s="393">
        <f>M225-N225</f>
        <v>783</v>
      </c>
      <c r="R225" s="838" t="s">
        <v>2243</v>
      </c>
      <c r="S225" s="289"/>
    </row>
    <row r="226" spans="1:19" s="866" customFormat="1" ht="74.099999999999994" customHeight="1">
      <c r="A226" s="343">
        <v>6</v>
      </c>
      <c r="B226" s="283" t="s">
        <v>1673</v>
      </c>
      <c r="C226" s="279" t="s">
        <v>89</v>
      </c>
      <c r="D226" s="203">
        <v>7927195</v>
      </c>
      <c r="E226" s="330" t="s">
        <v>823</v>
      </c>
      <c r="F226" s="297" t="s">
        <v>1674</v>
      </c>
      <c r="G226" s="297" t="s">
        <v>1675</v>
      </c>
      <c r="H226" s="297" t="s">
        <v>1318</v>
      </c>
      <c r="I226" s="320" t="s">
        <v>2106</v>
      </c>
      <c r="J226" s="309">
        <v>23200</v>
      </c>
      <c r="K226" s="309">
        <v>23200</v>
      </c>
      <c r="L226" s="309">
        <v>23000</v>
      </c>
      <c r="M226" s="311">
        <v>23000</v>
      </c>
      <c r="N226" s="312">
        <f>2498+9500+11000</f>
        <v>22998</v>
      </c>
      <c r="O226" s="312">
        <v>23000</v>
      </c>
      <c r="P226" s="399">
        <f>O226-M226</f>
        <v>0</v>
      </c>
      <c r="Q226" s="393"/>
      <c r="R226" s="307"/>
      <c r="S226" s="284"/>
    </row>
    <row r="227" spans="1:19" s="866" customFormat="1" ht="93.75" customHeight="1">
      <c r="A227" s="343">
        <v>7</v>
      </c>
      <c r="B227" s="283" t="s">
        <v>1676</v>
      </c>
      <c r="C227" s="279" t="s">
        <v>89</v>
      </c>
      <c r="D227" s="203">
        <v>7927196</v>
      </c>
      <c r="E227" s="330" t="s">
        <v>823</v>
      </c>
      <c r="F227" s="297" t="s">
        <v>1674</v>
      </c>
      <c r="G227" s="297" t="s">
        <v>1677</v>
      </c>
      <c r="H227" s="297" t="s">
        <v>1318</v>
      </c>
      <c r="I227" s="279" t="s">
        <v>2107</v>
      </c>
      <c r="J227" s="309">
        <v>25500</v>
      </c>
      <c r="K227" s="309">
        <v>25500</v>
      </c>
      <c r="L227" s="309">
        <v>25500</v>
      </c>
      <c r="M227" s="311">
        <v>25500</v>
      </c>
      <c r="N227" s="312">
        <f>1000+9712+14788</f>
        <v>25500</v>
      </c>
      <c r="O227" s="312">
        <v>25500</v>
      </c>
      <c r="P227" s="399">
        <f>O227-M227</f>
        <v>0</v>
      </c>
      <c r="Q227" s="393"/>
      <c r="R227" s="838"/>
      <c r="S227" s="284"/>
    </row>
    <row r="228" spans="1:19" s="866" customFormat="1" ht="78.95" customHeight="1">
      <c r="A228" s="343">
        <v>8</v>
      </c>
      <c r="B228" s="382" t="s">
        <v>1678</v>
      </c>
      <c r="C228" s="279" t="s">
        <v>89</v>
      </c>
      <c r="D228" s="849">
        <v>7885736</v>
      </c>
      <c r="E228" s="279" t="s">
        <v>823</v>
      </c>
      <c r="F228" s="279" t="s">
        <v>1679</v>
      </c>
      <c r="G228" s="279" t="s">
        <v>1279</v>
      </c>
      <c r="H228" s="279" t="s">
        <v>1480</v>
      </c>
      <c r="I228" s="298" t="s">
        <v>2190</v>
      </c>
      <c r="J228" s="309">
        <v>24150</v>
      </c>
      <c r="K228" s="309">
        <f>J228*0.8</f>
        <v>19320</v>
      </c>
      <c r="L228" s="309">
        <v>18498</v>
      </c>
      <c r="M228" s="311">
        <v>18498</v>
      </c>
      <c r="N228" s="312">
        <v>3312</v>
      </c>
      <c r="O228" s="312">
        <v>18498</v>
      </c>
      <c r="P228" s="399">
        <f>O228-M228</f>
        <v>0</v>
      </c>
      <c r="Q228" s="393"/>
      <c r="R228" s="307"/>
      <c r="S228" s="284"/>
    </row>
    <row r="229" spans="1:19" s="866" customFormat="1" ht="68.099999999999994" customHeight="1">
      <c r="A229" s="343">
        <v>9</v>
      </c>
      <c r="B229" s="383" t="s">
        <v>1680</v>
      </c>
      <c r="C229" s="279" t="s">
        <v>89</v>
      </c>
      <c r="D229" s="849">
        <v>7947178</v>
      </c>
      <c r="E229" s="279" t="s">
        <v>823</v>
      </c>
      <c r="F229" s="279" t="s">
        <v>1679</v>
      </c>
      <c r="G229" s="279" t="s">
        <v>2191</v>
      </c>
      <c r="H229" s="279" t="s">
        <v>1681</v>
      </c>
      <c r="I229" s="298" t="s">
        <v>2108</v>
      </c>
      <c r="J229" s="309">
        <v>4190</v>
      </c>
      <c r="K229" s="309">
        <f>J229*0.5</f>
        <v>2095</v>
      </c>
      <c r="L229" s="309">
        <v>2095</v>
      </c>
      <c r="M229" s="311">
        <v>2095</v>
      </c>
      <c r="N229" s="312">
        <v>2000</v>
      </c>
      <c r="O229" s="312">
        <v>2095</v>
      </c>
      <c r="P229" s="399">
        <f>O229-M229</f>
        <v>0</v>
      </c>
      <c r="Q229" s="393"/>
      <c r="R229" s="308"/>
      <c r="S229" s="284"/>
    </row>
    <row r="230" spans="1:19" s="865" customFormat="1" ht="99.95" customHeight="1">
      <c r="A230" s="343">
        <v>10</v>
      </c>
      <c r="B230" s="371" t="s">
        <v>1682</v>
      </c>
      <c r="C230" s="279" t="s">
        <v>89</v>
      </c>
      <c r="D230" s="857">
        <v>7947186</v>
      </c>
      <c r="E230" s="279" t="s">
        <v>823</v>
      </c>
      <c r="F230" s="279" t="s">
        <v>1679</v>
      </c>
      <c r="G230" s="279" t="s">
        <v>2192</v>
      </c>
      <c r="H230" s="279" t="s">
        <v>2193</v>
      </c>
      <c r="I230" s="279" t="s">
        <v>2194</v>
      </c>
      <c r="J230" s="384">
        <v>2000</v>
      </c>
      <c r="K230" s="384">
        <f>J230*0.7</f>
        <v>1400</v>
      </c>
      <c r="L230" s="384">
        <v>1400</v>
      </c>
      <c r="M230" s="311">
        <v>1400</v>
      </c>
      <c r="N230" s="312">
        <v>1400</v>
      </c>
      <c r="O230" s="312">
        <v>1400</v>
      </c>
      <c r="P230" s="399">
        <f>O230-M230</f>
        <v>0</v>
      </c>
      <c r="Q230" s="393">
        <f>M230-N230</f>
        <v>0</v>
      </c>
      <c r="R230" s="308"/>
      <c r="S230" s="289"/>
    </row>
    <row r="231" spans="1:19" s="866" customFormat="1" ht="99.95" customHeight="1">
      <c r="A231" s="343">
        <v>11</v>
      </c>
      <c r="B231" s="385" t="s">
        <v>1683</v>
      </c>
      <c r="C231" s="279" t="s">
        <v>89</v>
      </c>
      <c r="D231" s="858">
        <v>8058040</v>
      </c>
      <c r="E231" s="279" t="s">
        <v>823</v>
      </c>
      <c r="F231" s="279" t="s">
        <v>1684</v>
      </c>
      <c r="G231" s="859" t="s">
        <v>1341</v>
      </c>
      <c r="H231" s="279" t="s">
        <v>1253</v>
      </c>
      <c r="I231" s="283" t="s">
        <v>2265</v>
      </c>
      <c r="J231" s="312">
        <v>23500</v>
      </c>
      <c r="K231" s="312">
        <f>J231*80%</f>
        <v>18800</v>
      </c>
      <c r="L231" s="312">
        <v>10000</v>
      </c>
      <c r="M231" s="311">
        <v>10000</v>
      </c>
      <c r="N231" s="312">
        <v>2000</v>
      </c>
      <c r="O231" s="312">
        <v>8981</v>
      </c>
      <c r="P231" s="399"/>
      <c r="Q231" s="393">
        <v>1019</v>
      </c>
      <c r="R231" s="297" t="s">
        <v>2381</v>
      </c>
      <c r="S231" s="284"/>
    </row>
    <row r="232" spans="1:19" s="866" customFormat="1" ht="98.45" customHeight="1">
      <c r="A232" s="343">
        <v>12</v>
      </c>
      <c r="B232" s="383" t="s">
        <v>1685</v>
      </c>
      <c r="C232" s="279" t="s">
        <v>89</v>
      </c>
      <c r="D232" s="839"/>
      <c r="E232" s="279" t="s">
        <v>823</v>
      </c>
      <c r="F232" s="279" t="s">
        <v>1686</v>
      </c>
      <c r="G232" s="279" t="s">
        <v>2407</v>
      </c>
      <c r="H232" s="279" t="s">
        <v>1480</v>
      </c>
      <c r="I232" s="860" t="s">
        <v>2408</v>
      </c>
      <c r="J232" s="300">
        <v>12000</v>
      </c>
      <c r="K232" s="309">
        <f>J232*70%</f>
        <v>8400</v>
      </c>
      <c r="L232" s="309">
        <v>3000</v>
      </c>
      <c r="M232" s="311">
        <v>3000</v>
      </c>
      <c r="N232" s="312">
        <v>0</v>
      </c>
      <c r="O232" s="312">
        <v>8200</v>
      </c>
      <c r="P232" s="399">
        <f>O232-M232</f>
        <v>5200</v>
      </c>
      <c r="Q232" s="393"/>
      <c r="R232" s="297" t="s">
        <v>2381</v>
      </c>
      <c r="S232" s="284"/>
    </row>
    <row r="233" spans="1:19" s="866" customFormat="1" ht="69" customHeight="1">
      <c r="A233" s="343">
        <v>13</v>
      </c>
      <c r="B233" s="383" t="s">
        <v>1687</v>
      </c>
      <c r="C233" s="279" t="s">
        <v>89</v>
      </c>
      <c r="D233" s="839"/>
      <c r="E233" s="279" t="s">
        <v>823</v>
      </c>
      <c r="F233" s="279" t="s">
        <v>1679</v>
      </c>
      <c r="G233" s="279" t="s">
        <v>2195</v>
      </c>
      <c r="H233" s="279" t="s">
        <v>1480</v>
      </c>
      <c r="I233" s="860" t="s">
        <v>2409</v>
      </c>
      <c r="J233" s="282">
        <v>11000</v>
      </c>
      <c r="K233" s="309">
        <f>J233*70%</f>
        <v>7699.9999999999991</v>
      </c>
      <c r="L233" s="309">
        <v>3000</v>
      </c>
      <c r="M233" s="311">
        <v>3000</v>
      </c>
      <c r="N233" s="312">
        <v>0</v>
      </c>
      <c r="O233" s="312">
        <v>7560</v>
      </c>
      <c r="P233" s="399">
        <f>O233-M233</f>
        <v>4560</v>
      </c>
      <c r="Q233" s="393"/>
      <c r="R233" s="297" t="s">
        <v>2381</v>
      </c>
      <c r="S233" s="284"/>
    </row>
    <row r="234" spans="1:19" s="866" customFormat="1" ht="69" customHeight="1">
      <c r="A234" s="343">
        <v>14</v>
      </c>
      <c r="B234" s="383" t="s">
        <v>1688</v>
      </c>
      <c r="C234" s="279" t="s">
        <v>89</v>
      </c>
      <c r="D234" s="839"/>
      <c r="E234" s="279" t="s">
        <v>823</v>
      </c>
      <c r="F234" s="279" t="s">
        <v>1689</v>
      </c>
      <c r="G234" s="279" t="s">
        <v>2410</v>
      </c>
      <c r="H234" s="279" t="s">
        <v>1253</v>
      </c>
      <c r="I234" s="386" t="s">
        <v>2266</v>
      </c>
      <c r="J234" s="282">
        <v>11000</v>
      </c>
      <c r="K234" s="309">
        <f>J234*70%</f>
        <v>7699.9999999999991</v>
      </c>
      <c r="L234" s="309">
        <v>4409</v>
      </c>
      <c r="M234" s="311">
        <v>4409</v>
      </c>
      <c r="N234" s="312">
        <v>0</v>
      </c>
      <c r="O234" s="312">
        <v>1251</v>
      </c>
      <c r="P234" s="399"/>
      <c r="Q234" s="393">
        <v>3158</v>
      </c>
      <c r="R234" s="327" t="s">
        <v>2411</v>
      </c>
      <c r="S234" s="284"/>
    </row>
    <row r="235" spans="1:19" s="866" customFormat="1" ht="69" customHeight="1">
      <c r="A235" s="343">
        <v>15</v>
      </c>
      <c r="B235" s="382" t="s">
        <v>1690</v>
      </c>
      <c r="C235" s="279" t="s">
        <v>89</v>
      </c>
      <c r="D235" s="839"/>
      <c r="E235" s="279" t="s">
        <v>823</v>
      </c>
      <c r="F235" s="279" t="s">
        <v>1691</v>
      </c>
      <c r="G235" s="279"/>
      <c r="H235" s="279" t="s">
        <v>1334</v>
      </c>
      <c r="I235" s="298"/>
      <c r="J235" s="309">
        <v>14000</v>
      </c>
      <c r="K235" s="309">
        <f>J235*70%</f>
        <v>9800</v>
      </c>
      <c r="L235" s="309">
        <v>4000</v>
      </c>
      <c r="M235" s="311">
        <v>4000</v>
      </c>
      <c r="N235" s="312">
        <v>0</v>
      </c>
      <c r="O235" s="312">
        <v>1000</v>
      </c>
      <c r="P235" s="399"/>
      <c r="Q235" s="393">
        <v>3000</v>
      </c>
      <c r="R235" s="327" t="s">
        <v>2411</v>
      </c>
      <c r="S235" s="284"/>
    </row>
    <row r="236" spans="1:19" s="866" customFormat="1" ht="69.95" customHeight="1">
      <c r="A236" s="343">
        <v>16</v>
      </c>
      <c r="B236" s="281" t="s">
        <v>1692</v>
      </c>
      <c r="C236" s="279" t="s">
        <v>89</v>
      </c>
      <c r="D236" s="303"/>
      <c r="E236" s="279" t="s">
        <v>823</v>
      </c>
      <c r="F236" s="279" t="s">
        <v>1686</v>
      </c>
      <c r="G236" s="307"/>
      <c r="H236" s="279" t="s">
        <v>1334</v>
      </c>
      <c r="I236" s="861" t="s">
        <v>2412</v>
      </c>
      <c r="J236" s="384">
        <v>26000</v>
      </c>
      <c r="K236" s="384">
        <v>26000</v>
      </c>
      <c r="L236" s="300">
        <v>2900</v>
      </c>
      <c r="M236" s="311">
        <v>2900</v>
      </c>
      <c r="N236" s="312">
        <v>0</v>
      </c>
      <c r="O236" s="312">
        <v>1100</v>
      </c>
      <c r="P236" s="399"/>
      <c r="Q236" s="393">
        <v>1800</v>
      </c>
      <c r="R236" s="327" t="s">
        <v>2411</v>
      </c>
      <c r="S236" s="284"/>
    </row>
    <row r="237" spans="1:19" s="865" customFormat="1" ht="69.95" customHeight="1">
      <c r="A237" s="343">
        <v>17</v>
      </c>
      <c r="B237" s="371" t="s">
        <v>1693</v>
      </c>
      <c r="C237" s="279" t="s">
        <v>89</v>
      </c>
      <c r="D237" s="279"/>
      <c r="E237" s="279" t="s">
        <v>823</v>
      </c>
      <c r="F237" s="279" t="s">
        <v>1694</v>
      </c>
      <c r="G237" s="279"/>
      <c r="H237" s="279" t="s">
        <v>1334</v>
      </c>
      <c r="I237" s="279"/>
      <c r="J237" s="384">
        <v>20046</v>
      </c>
      <c r="K237" s="384">
        <v>20046</v>
      </c>
      <c r="L237" s="300">
        <v>2000</v>
      </c>
      <c r="M237" s="311">
        <v>2000</v>
      </c>
      <c r="N237" s="312">
        <v>0</v>
      </c>
      <c r="O237" s="312">
        <f t="shared" ref="O237" si="45">M237</f>
        <v>2000</v>
      </c>
      <c r="P237" s="399">
        <f>O237-M237</f>
        <v>0</v>
      </c>
      <c r="Q237" s="393"/>
      <c r="R237" s="308"/>
      <c r="S237" s="289"/>
    </row>
    <row r="238" spans="1:19" s="865" customFormat="1" ht="45.95" customHeight="1">
      <c r="A238" s="839" t="s">
        <v>165</v>
      </c>
      <c r="B238" s="292" t="s">
        <v>1695</v>
      </c>
      <c r="C238" s="839"/>
      <c r="D238" s="839"/>
      <c r="E238" s="839"/>
      <c r="F238" s="839"/>
      <c r="G238" s="839"/>
      <c r="H238" s="839"/>
      <c r="I238" s="290"/>
      <c r="J238" s="291">
        <f t="shared" ref="J238:L238" si="46">J239+J253</f>
        <v>351897</v>
      </c>
      <c r="K238" s="291">
        <f t="shared" si="46"/>
        <v>333837.90000000002</v>
      </c>
      <c r="L238" s="291">
        <f t="shared" si="46"/>
        <v>102436</v>
      </c>
      <c r="M238" s="291">
        <f>M239+M253</f>
        <v>101376</v>
      </c>
      <c r="N238" s="291">
        <f t="shared" ref="N238:Q238" si="47">N239+N253</f>
        <v>100436</v>
      </c>
      <c r="O238" s="291">
        <f t="shared" si="47"/>
        <v>101376</v>
      </c>
      <c r="P238" s="291">
        <f t="shared" si="47"/>
        <v>0</v>
      </c>
      <c r="Q238" s="291">
        <f t="shared" si="47"/>
        <v>0</v>
      </c>
      <c r="R238" s="291">
        <f t="shared" ref="R238" si="48">SUM(R240:R267)</f>
        <v>0</v>
      </c>
      <c r="S238" s="289"/>
    </row>
    <row r="239" spans="1:19" s="865" customFormat="1" ht="56.45" customHeight="1">
      <c r="A239" s="839" t="s">
        <v>279</v>
      </c>
      <c r="B239" s="372" t="s">
        <v>1844</v>
      </c>
      <c r="C239" s="839"/>
      <c r="D239" s="839"/>
      <c r="E239" s="839"/>
      <c r="F239" s="839"/>
      <c r="G239" s="839"/>
      <c r="H239" s="839"/>
      <c r="I239" s="290"/>
      <c r="J239" s="378">
        <f t="shared" ref="J239:L239" si="49">SUM(J240:J252)</f>
        <v>112603</v>
      </c>
      <c r="K239" s="378">
        <f t="shared" si="49"/>
        <v>98979.5</v>
      </c>
      <c r="L239" s="378">
        <f t="shared" si="49"/>
        <v>38308</v>
      </c>
      <c r="M239" s="378">
        <f>SUM(M240:M252)</f>
        <v>38308</v>
      </c>
      <c r="N239" s="378">
        <f t="shared" ref="N239:Q239" si="50">SUM(N240:N252)</f>
        <v>38308</v>
      </c>
      <c r="O239" s="378">
        <f t="shared" si="50"/>
        <v>38308</v>
      </c>
      <c r="P239" s="378">
        <f t="shared" si="50"/>
        <v>0</v>
      </c>
      <c r="Q239" s="378">
        <f t="shared" si="50"/>
        <v>0</v>
      </c>
      <c r="R239" s="293"/>
      <c r="S239" s="289"/>
    </row>
    <row r="240" spans="1:19" s="867" customFormat="1" ht="72.599999999999994" customHeight="1">
      <c r="A240" s="304">
        <v>1</v>
      </c>
      <c r="B240" s="281" t="s">
        <v>1696</v>
      </c>
      <c r="C240" s="279" t="s">
        <v>89</v>
      </c>
      <c r="D240" s="278" t="s">
        <v>1697</v>
      </c>
      <c r="E240" s="296" t="s">
        <v>1698</v>
      </c>
      <c r="F240" s="297" t="s">
        <v>1699</v>
      </c>
      <c r="G240" s="296" t="s">
        <v>1259</v>
      </c>
      <c r="H240" s="296" t="s">
        <v>1025</v>
      </c>
      <c r="I240" s="296" t="s">
        <v>2109</v>
      </c>
      <c r="J240" s="311">
        <v>2978</v>
      </c>
      <c r="K240" s="311">
        <f>J240*90%</f>
        <v>2680.2000000000003</v>
      </c>
      <c r="L240" s="311">
        <v>512</v>
      </c>
      <c r="M240" s="282">
        <v>512</v>
      </c>
      <c r="N240" s="312">
        <v>512</v>
      </c>
      <c r="O240" s="312">
        <v>512</v>
      </c>
      <c r="P240" s="393">
        <f t="shared" ref="P240:P252" si="51">O240-M240</f>
        <v>0</v>
      </c>
      <c r="Q240" s="393">
        <f t="shared" ref="Q240:Q251" si="52">M240-N240</f>
        <v>0</v>
      </c>
      <c r="R240" s="387"/>
      <c r="S240" s="313"/>
    </row>
    <row r="241" spans="1:19" s="867" customFormat="1" ht="72.599999999999994" customHeight="1">
      <c r="A241" s="304">
        <v>2</v>
      </c>
      <c r="B241" s="281" t="s">
        <v>1700</v>
      </c>
      <c r="C241" s="279" t="s">
        <v>89</v>
      </c>
      <c r="D241" s="278" t="s">
        <v>1701</v>
      </c>
      <c r="E241" s="296" t="s">
        <v>1702</v>
      </c>
      <c r="F241" s="297" t="s">
        <v>1703</v>
      </c>
      <c r="G241" s="296" t="s">
        <v>1259</v>
      </c>
      <c r="H241" s="296" t="s">
        <v>1025</v>
      </c>
      <c r="I241" s="296" t="s">
        <v>2110</v>
      </c>
      <c r="J241" s="311">
        <v>2315</v>
      </c>
      <c r="K241" s="311">
        <f>J241*90%</f>
        <v>2083.5</v>
      </c>
      <c r="L241" s="311">
        <v>445</v>
      </c>
      <c r="M241" s="282">
        <v>445</v>
      </c>
      <c r="N241" s="312">
        <v>445</v>
      </c>
      <c r="O241" s="312">
        <v>445</v>
      </c>
      <c r="P241" s="393">
        <f t="shared" si="51"/>
        <v>0</v>
      </c>
      <c r="Q241" s="393">
        <f t="shared" si="52"/>
        <v>0</v>
      </c>
      <c r="R241" s="387"/>
      <c r="S241" s="313"/>
    </row>
    <row r="242" spans="1:19" s="867" customFormat="1" ht="77.099999999999994" customHeight="1">
      <c r="A242" s="304">
        <v>3</v>
      </c>
      <c r="B242" s="281" t="s">
        <v>1704</v>
      </c>
      <c r="C242" s="279" t="s">
        <v>89</v>
      </c>
      <c r="D242" s="278" t="s">
        <v>1705</v>
      </c>
      <c r="E242" s="296" t="s">
        <v>1706</v>
      </c>
      <c r="F242" s="297" t="s">
        <v>1707</v>
      </c>
      <c r="G242" s="296" t="s">
        <v>1259</v>
      </c>
      <c r="H242" s="296" t="s">
        <v>1025</v>
      </c>
      <c r="I242" s="296" t="s">
        <v>2111</v>
      </c>
      <c r="J242" s="311">
        <v>4985</v>
      </c>
      <c r="K242" s="311">
        <f>J242*90%</f>
        <v>4486.5</v>
      </c>
      <c r="L242" s="311">
        <v>1547</v>
      </c>
      <c r="M242" s="282">
        <v>1547</v>
      </c>
      <c r="N242" s="312">
        <v>1547</v>
      </c>
      <c r="O242" s="312">
        <v>1547</v>
      </c>
      <c r="P242" s="393">
        <f t="shared" si="51"/>
        <v>0</v>
      </c>
      <c r="Q242" s="393">
        <f t="shared" si="52"/>
        <v>0</v>
      </c>
      <c r="R242" s="387"/>
      <c r="S242" s="313"/>
    </row>
    <row r="243" spans="1:19" s="867" customFormat="1" ht="74.45" customHeight="1">
      <c r="A243" s="304">
        <v>4</v>
      </c>
      <c r="B243" s="281" t="s">
        <v>1708</v>
      </c>
      <c r="C243" s="279" t="s">
        <v>89</v>
      </c>
      <c r="D243" s="278" t="s">
        <v>1709</v>
      </c>
      <c r="E243" s="296" t="s">
        <v>1710</v>
      </c>
      <c r="F243" s="297" t="s">
        <v>895</v>
      </c>
      <c r="G243" s="296" t="s">
        <v>1259</v>
      </c>
      <c r="H243" s="296" t="s">
        <v>1025</v>
      </c>
      <c r="I243" s="296" t="s">
        <v>2112</v>
      </c>
      <c r="J243" s="311">
        <v>4988</v>
      </c>
      <c r="K243" s="311">
        <f>J243*90%</f>
        <v>4489.2</v>
      </c>
      <c r="L243" s="311">
        <v>1391</v>
      </c>
      <c r="M243" s="282">
        <v>1391</v>
      </c>
      <c r="N243" s="312">
        <v>1391</v>
      </c>
      <c r="O243" s="312">
        <v>1391</v>
      </c>
      <c r="P243" s="393">
        <f t="shared" si="51"/>
        <v>0</v>
      </c>
      <c r="Q243" s="393">
        <f t="shared" si="52"/>
        <v>0</v>
      </c>
      <c r="R243" s="387"/>
      <c r="S243" s="313"/>
    </row>
    <row r="244" spans="1:19" s="867" customFormat="1" ht="81.95" customHeight="1">
      <c r="A244" s="304">
        <v>5</v>
      </c>
      <c r="B244" s="281" t="s">
        <v>1711</v>
      </c>
      <c r="C244" s="279" t="s">
        <v>89</v>
      </c>
      <c r="D244" s="278" t="s">
        <v>1712</v>
      </c>
      <c r="E244" s="296" t="s">
        <v>1713</v>
      </c>
      <c r="F244" s="297" t="s">
        <v>1714</v>
      </c>
      <c r="G244" s="296" t="s">
        <v>1259</v>
      </c>
      <c r="H244" s="296" t="s">
        <v>1025</v>
      </c>
      <c r="I244" s="296" t="s">
        <v>2113</v>
      </c>
      <c r="J244" s="311">
        <v>3098</v>
      </c>
      <c r="K244" s="311">
        <f>J244*90%</f>
        <v>2788.2000000000003</v>
      </c>
      <c r="L244" s="311">
        <v>144</v>
      </c>
      <c r="M244" s="282">
        <v>144</v>
      </c>
      <c r="N244" s="312">
        <v>144</v>
      </c>
      <c r="O244" s="312">
        <v>144</v>
      </c>
      <c r="P244" s="393">
        <f t="shared" si="51"/>
        <v>0</v>
      </c>
      <c r="Q244" s="393">
        <f t="shared" si="52"/>
        <v>0</v>
      </c>
      <c r="R244" s="387"/>
      <c r="S244" s="313"/>
    </row>
    <row r="245" spans="1:19" s="867" customFormat="1" ht="72.599999999999994" customHeight="1">
      <c r="A245" s="304">
        <v>6</v>
      </c>
      <c r="B245" s="281" t="s">
        <v>1715</v>
      </c>
      <c r="C245" s="279" t="s">
        <v>89</v>
      </c>
      <c r="D245" s="278" t="s">
        <v>1716</v>
      </c>
      <c r="E245" s="296" t="s">
        <v>1717</v>
      </c>
      <c r="F245" s="297" t="s">
        <v>1718</v>
      </c>
      <c r="G245" s="296" t="s">
        <v>1259</v>
      </c>
      <c r="H245" s="296" t="s">
        <v>1719</v>
      </c>
      <c r="I245" s="296" t="s">
        <v>2114</v>
      </c>
      <c r="J245" s="311">
        <v>4000</v>
      </c>
      <c r="K245" s="311">
        <f>J245*0.7</f>
        <v>2800</v>
      </c>
      <c r="L245" s="311">
        <v>1108</v>
      </c>
      <c r="M245" s="282">
        <v>1108</v>
      </c>
      <c r="N245" s="312">
        <v>1108</v>
      </c>
      <c r="O245" s="312">
        <v>1108</v>
      </c>
      <c r="P245" s="393">
        <f t="shared" si="51"/>
        <v>0</v>
      </c>
      <c r="Q245" s="393">
        <f t="shared" si="52"/>
        <v>0</v>
      </c>
      <c r="R245" s="387"/>
      <c r="S245" s="313"/>
    </row>
    <row r="246" spans="1:19" s="867" customFormat="1" ht="89.1" customHeight="1">
      <c r="A246" s="304">
        <v>7</v>
      </c>
      <c r="B246" s="281" t="s">
        <v>1720</v>
      </c>
      <c r="C246" s="279" t="s">
        <v>89</v>
      </c>
      <c r="D246" s="278">
        <v>7833196</v>
      </c>
      <c r="E246" s="296" t="s">
        <v>1702</v>
      </c>
      <c r="F246" s="297" t="s">
        <v>1703</v>
      </c>
      <c r="G246" s="296" t="s">
        <v>1266</v>
      </c>
      <c r="H246" s="296" t="s">
        <v>1025</v>
      </c>
      <c r="I246" s="296" t="s">
        <v>1973</v>
      </c>
      <c r="J246" s="311">
        <v>2816</v>
      </c>
      <c r="K246" s="311">
        <f>J246*0.7</f>
        <v>1971.1999999999998</v>
      </c>
      <c r="L246" s="311">
        <v>300</v>
      </c>
      <c r="M246" s="282">
        <v>300</v>
      </c>
      <c r="N246" s="312">
        <v>300</v>
      </c>
      <c r="O246" s="312">
        <v>300</v>
      </c>
      <c r="P246" s="393">
        <f t="shared" si="51"/>
        <v>0</v>
      </c>
      <c r="Q246" s="393">
        <f t="shared" si="52"/>
        <v>0</v>
      </c>
      <c r="R246" s="387"/>
      <c r="S246" s="313"/>
    </row>
    <row r="247" spans="1:19" s="865" customFormat="1" ht="75.95" customHeight="1">
      <c r="A247" s="304">
        <v>8</v>
      </c>
      <c r="B247" s="315" t="s">
        <v>1721</v>
      </c>
      <c r="C247" s="279" t="s">
        <v>89</v>
      </c>
      <c r="D247" s="345" t="s">
        <v>1722</v>
      </c>
      <c r="E247" s="278" t="s">
        <v>716</v>
      </c>
      <c r="F247" s="278" t="s">
        <v>1723</v>
      </c>
      <c r="G247" s="296" t="s">
        <v>1279</v>
      </c>
      <c r="H247" s="296" t="s">
        <v>661</v>
      </c>
      <c r="I247" s="331" t="s">
        <v>1972</v>
      </c>
      <c r="J247" s="312">
        <v>21304</v>
      </c>
      <c r="K247" s="312">
        <f>0.9*J247</f>
        <v>19173.600000000002</v>
      </c>
      <c r="L247" s="311">
        <v>10594</v>
      </c>
      <c r="M247" s="282">
        <v>10594</v>
      </c>
      <c r="N247" s="312">
        <v>10594</v>
      </c>
      <c r="O247" s="312">
        <v>10594</v>
      </c>
      <c r="P247" s="393">
        <f t="shared" si="51"/>
        <v>0</v>
      </c>
      <c r="Q247" s="393">
        <f t="shared" si="52"/>
        <v>0</v>
      </c>
      <c r="R247" s="387"/>
      <c r="S247" s="289"/>
    </row>
    <row r="248" spans="1:19" s="865" customFormat="1" ht="99.95" customHeight="1">
      <c r="A248" s="304">
        <v>9</v>
      </c>
      <c r="B248" s="315" t="s">
        <v>1724</v>
      </c>
      <c r="C248" s="279" t="s">
        <v>89</v>
      </c>
      <c r="D248" s="345" t="s">
        <v>1725</v>
      </c>
      <c r="E248" s="278" t="s">
        <v>716</v>
      </c>
      <c r="F248" s="297" t="s">
        <v>1726</v>
      </c>
      <c r="G248" s="296" t="s">
        <v>1279</v>
      </c>
      <c r="H248" s="296" t="s">
        <v>661</v>
      </c>
      <c r="I248" s="297" t="s">
        <v>1971</v>
      </c>
      <c r="J248" s="300">
        <v>13498</v>
      </c>
      <c r="K248" s="312">
        <f>J248*0.9</f>
        <v>12148.2</v>
      </c>
      <c r="L248" s="311">
        <v>2637</v>
      </c>
      <c r="M248" s="282">
        <v>2637</v>
      </c>
      <c r="N248" s="312">
        <v>2637</v>
      </c>
      <c r="O248" s="312">
        <v>2637</v>
      </c>
      <c r="P248" s="393">
        <f t="shared" si="51"/>
        <v>0</v>
      </c>
      <c r="Q248" s="393">
        <f t="shared" si="52"/>
        <v>0</v>
      </c>
      <c r="R248" s="387"/>
      <c r="S248" s="289"/>
    </row>
    <row r="249" spans="1:19" s="865" customFormat="1" ht="99.95" customHeight="1">
      <c r="A249" s="304">
        <v>10</v>
      </c>
      <c r="B249" s="315" t="s">
        <v>1727</v>
      </c>
      <c r="C249" s="279" t="s">
        <v>89</v>
      </c>
      <c r="D249" s="314" t="s">
        <v>1728</v>
      </c>
      <c r="E249" s="278" t="s">
        <v>716</v>
      </c>
      <c r="F249" s="278" t="s">
        <v>1723</v>
      </c>
      <c r="G249" s="278" t="s">
        <v>2196</v>
      </c>
      <c r="H249" s="296" t="s">
        <v>661</v>
      </c>
      <c r="I249" s="296" t="s">
        <v>1970</v>
      </c>
      <c r="J249" s="312">
        <v>10000</v>
      </c>
      <c r="K249" s="312">
        <f>0.8*J249</f>
        <v>8000</v>
      </c>
      <c r="L249" s="311">
        <v>1950</v>
      </c>
      <c r="M249" s="282">
        <v>1950</v>
      </c>
      <c r="N249" s="312">
        <v>1950</v>
      </c>
      <c r="O249" s="312">
        <v>1950</v>
      </c>
      <c r="P249" s="393">
        <f t="shared" si="51"/>
        <v>0</v>
      </c>
      <c r="Q249" s="393">
        <f t="shared" si="52"/>
        <v>0</v>
      </c>
      <c r="R249" s="387"/>
      <c r="S249" s="289"/>
    </row>
    <row r="250" spans="1:19" s="865" customFormat="1" ht="99.95" customHeight="1">
      <c r="A250" s="304">
        <v>11</v>
      </c>
      <c r="B250" s="315" t="s">
        <v>1729</v>
      </c>
      <c r="C250" s="279" t="s">
        <v>89</v>
      </c>
      <c r="D250" s="330" t="s">
        <v>1730</v>
      </c>
      <c r="E250" s="330" t="s">
        <v>716</v>
      </c>
      <c r="F250" s="331" t="s">
        <v>1731</v>
      </c>
      <c r="G250" s="296" t="s">
        <v>1732</v>
      </c>
      <c r="H250" s="296" t="s">
        <v>1001</v>
      </c>
      <c r="I250" s="296" t="s">
        <v>1969</v>
      </c>
      <c r="J250" s="312">
        <v>21347</v>
      </c>
      <c r="K250" s="312">
        <f>J250*0.9</f>
        <v>19212.3</v>
      </c>
      <c r="L250" s="311">
        <v>9617</v>
      </c>
      <c r="M250" s="282">
        <v>9617</v>
      </c>
      <c r="N250" s="312">
        <v>9617</v>
      </c>
      <c r="O250" s="312">
        <v>9617</v>
      </c>
      <c r="P250" s="393">
        <f t="shared" si="51"/>
        <v>0</v>
      </c>
      <c r="Q250" s="393">
        <f t="shared" si="52"/>
        <v>0</v>
      </c>
      <c r="R250" s="387"/>
      <c r="S250" s="289"/>
    </row>
    <row r="251" spans="1:19" s="865" customFormat="1" ht="99.95" customHeight="1">
      <c r="A251" s="304">
        <v>12</v>
      </c>
      <c r="B251" s="315" t="s">
        <v>1733</v>
      </c>
      <c r="C251" s="279" t="s">
        <v>89</v>
      </c>
      <c r="D251" s="330" t="s">
        <v>1734</v>
      </c>
      <c r="E251" s="330" t="s">
        <v>716</v>
      </c>
      <c r="F251" s="331" t="s">
        <v>1723</v>
      </c>
      <c r="G251" s="296" t="s">
        <v>1279</v>
      </c>
      <c r="H251" s="296" t="s">
        <v>661</v>
      </c>
      <c r="I251" s="296" t="s">
        <v>1968</v>
      </c>
      <c r="J251" s="312">
        <v>14776</v>
      </c>
      <c r="K251" s="312">
        <f>0.9*J251</f>
        <v>13298.4</v>
      </c>
      <c r="L251" s="311">
        <v>5783</v>
      </c>
      <c r="M251" s="282">
        <v>5783</v>
      </c>
      <c r="N251" s="312">
        <v>5783</v>
      </c>
      <c r="O251" s="312">
        <v>5783</v>
      </c>
      <c r="P251" s="393">
        <f t="shared" si="51"/>
        <v>0</v>
      </c>
      <c r="Q251" s="393">
        <f t="shared" si="52"/>
        <v>0</v>
      </c>
      <c r="R251" s="387"/>
      <c r="S251" s="289"/>
    </row>
    <row r="252" spans="1:19" s="865" customFormat="1" ht="51.95" customHeight="1">
      <c r="A252" s="304">
        <v>13</v>
      </c>
      <c r="B252" s="315" t="s">
        <v>1735</v>
      </c>
      <c r="C252" s="279" t="s">
        <v>89</v>
      </c>
      <c r="D252" s="330" t="s">
        <v>1736</v>
      </c>
      <c r="E252" s="330" t="s">
        <v>716</v>
      </c>
      <c r="F252" s="331" t="s">
        <v>1723</v>
      </c>
      <c r="G252" s="296" t="s">
        <v>1279</v>
      </c>
      <c r="H252" s="296" t="s">
        <v>661</v>
      </c>
      <c r="I252" s="296" t="s">
        <v>1967</v>
      </c>
      <c r="J252" s="312">
        <v>6498</v>
      </c>
      <c r="K252" s="312">
        <f>0.9*J252</f>
        <v>5848.2</v>
      </c>
      <c r="L252" s="311">
        <v>2280</v>
      </c>
      <c r="M252" s="282">
        <v>2280</v>
      </c>
      <c r="N252" s="312">
        <v>2280</v>
      </c>
      <c r="O252" s="312">
        <v>2280</v>
      </c>
      <c r="P252" s="393">
        <f t="shared" si="51"/>
        <v>0</v>
      </c>
      <c r="Q252" s="393"/>
      <c r="R252" s="387"/>
      <c r="S252" s="289"/>
    </row>
    <row r="253" spans="1:19" s="865" customFormat="1" ht="199.5" customHeight="1">
      <c r="A253" s="304" t="s">
        <v>98</v>
      </c>
      <c r="B253" s="294" t="s">
        <v>685</v>
      </c>
      <c r="C253" s="279"/>
      <c r="D253" s="330"/>
      <c r="E253" s="330"/>
      <c r="F253" s="331"/>
      <c r="G253" s="296"/>
      <c r="H253" s="296"/>
      <c r="I253" s="296"/>
      <c r="J253" s="379">
        <f t="shared" ref="J253:L253" si="53">SUM(J254:J267)</f>
        <v>239294</v>
      </c>
      <c r="K253" s="379">
        <f t="shared" si="53"/>
        <v>234858.4</v>
      </c>
      <c r="L253" s="379">
        <f t="shared" si="53"/>
        <v>64128</v>
      </c>
      <c r="M253" s="379">
        <f>SUM(M254:M267)</f>
        <v>63068</v>
      </c>
      <c r="N253" s="379">
        <f t="shared" ref="N253:Q253" si="54">SUM(N254:N267)</f>
        <v>62128</v>
      </c>
      <c r="O253" s="379">
        <f t="shared" si="54"/>
        <v>63068</v>
      </c>
      <c r="P253" s="379">
        <f t="shared" si="54"/>
        <v>0</v>
      </c>
      <c r="Q253" s="379">
        <f t="shared" si="54"/>
        <v>0</v>
      </c>
      <c r="R253" s="387"/>
      <c r="S253" s="289"/>
    </row>
    <row r="254" spans="1:19" s="865" customFormat="1" ht="82.5" customHeight="1">
      <c r="A254" s="304">
        <v>1</v>
      </c>
      <c r="B254" s="315" t="s">
        <v>1737</v>
      </c>
      <c r="C254" s="279" t="s">
        <v>89</v>
      </c>
      <c r="D254" s="314" t="s">
        <v>1738</v>
      </c>
      <c r="E254" s="330" t="s">
        <v>716</v>
      </c>
      <c r="F254" s="331" t="s">
        <v>1739</v>
      </c>
      <c r="G254" s="296" t="s">
        <v>2197</v>
      </c>
      <c r="H254" s="296" t="s">
        <v>661</v>
      </c>
      <c r="I254" s="296" t="s">
        <v>1966</v>
      </c>
      <c r="J254" s="312">
        <v>3559</v>
      </c>
      <c r="K254" s="312">
        <f t="shared" ref="K254:K259" si="55">J254*0.9</f>
        <v>3203.1</v>
      </c>
      <c r="L254" s="311">
        <v>3100</v>
      </c>
      <c r="M254" s="282">
        <v>3100</v>
      </c>
      <c r="N254" s="312">
        <v>3100</v>
      </c>
      <c r="O254" s="312">
        <v>3100</v>
      </c>
      <c r="P254" s="393">
        <f t="shared" ref="P254:P267" si="56">O254-M254</f>
        <v>0</v>
      </c>
      <c r="Q254" s="393">
        <f t="shared" ref="Q254:Q261" si="57">M254-N254</f>
        <v>0</v>
      </c>
      <c r="R254" s="387"/>
      <c r="S254" s="289"/>
    </row>
    <row r="255" spans="1:19" s="865" customFormat="1" ht="82.5" customHeight="1">
      <c r="A255" s="304">
        <v>2</v>
      </c>
      <c r="B255" s="315" t="s">
        <v>1740</v>
      </c>
      <c r="C255" s="279" t="s">
        <v>89</v>
      </c>
      <c r="D255" s="314" t="s">
        <v>1741</v>
      </c>
      <c r="E255" s="330" t="s">
        <v>716</v>
      </c>
      <c r="F255" s="331" t="s">
        <v>1537</v>
      </c>
      <c r="G255" s="296" t="s">
        <v>2197</v>
      </c>
      <c r="H255" s="296" t="s">
        <v>661</v>
      </c>
      <c r="I255" s="296" t="s">
        <v>1965</v>
      </c>
      <c r="J255" s="312">
        <v>12040</v>
      </c>
      <c r="K255" s="312">
        <f t="shared" si="55"/>
        <v>10836</v>
      </c>
      <c r="L255" s="311">
        <v>10614</v>
      </c>
      <c r="M255" s="282">
        <v>10614</v>
      </c>
      <c r="N255" s="312">
        <v>10614</v>
      </c>
      <c r="O255" s="312">
        <v>10614</v>
      </c>
      <c r="P255" s="393">
        <f t="shared" si="56"/>
        <v>0</v>
      </c>
      <c r="Q255" s="393">
        <f t="shared" si="57"/>
        <v>0</v>
      </c>
      <c r="R255" s="387"/>
      <c r="S255" s="289"/>
    </row>
    <row r="256" spans="1:19" s="865" customFormat="1" ht="83.1" customHeight="1">
      <c r="A256" s="304">
        <v>3</v>
      </c>
      <c r="B256" s="315" t="s">
        <v>1742</v>
      </c>
      <c r="C256" s="279" t="s">
        <v>89</v>
      </c>
      <c r="D256" s="314" t="s">
        <v>1743</v>
      </c>
      <c r="E256" s="330" t="s">
        <v>716</v>
      </c>
      <c r="F256" s="331" t="s">
        <v>1744</v>
      </c>
      <c r="G256" s="296" t="s">
        <v>2198</v>
      </c>
      <c r="H256" s="296" t="s">
        <v>661</v>
      </c>
      <c r="I256" s="296" t="s">
        <v>1964</v>
      </c>
      <c r="J256" s="312">
        <v>1690</v>
      </c>
      <c r="K256" s="312">
        <f t="shared" si="55"/>
        <v>1521</v>
      </c>
      <c r="L256" s="311">
        <v>1438</v>
      </c>
      <c r="M256" s="282">
        <v>1438</v>
      </c>
      <c r="N256" s="312">
        <v>1438</v>
      </c>
      <c r="O256" s="312">
        <v>1438</v>
      </c>
      <c r="P256" s="393">
        <f t="shared" si="56"/>
        <v>0</v>
      </c>
      <c r="Q256" s="393">
        <f t="shared" si="57"/>
        <v>0</v>
      </c>
      <c r="R256" s="387"/>
      <c r="S256" s="289"/>
    </row>
    <row r="257" spans="1:19" s="865" customFormat="1" ht="83.1" customHeight="1">
      <c r="A257" s="304">
        <v>4</v>
      </c>
      <c r="B257" s="315" t="s">
        <v>1745</v>
      </c>
      <c r="C257" s="279" t="s">
        <v>89</v>
      </c>
      <c r="D257" s="314" t="s">
        <v>1746</v>
      </c>
      <c r="E257" s="330" t="s">
        <v>716</v>
      </c>
      <c r="F257" s="331" t="s">
        <v>1747</v>
      </c>
      <c r="G257" s="296" t="s">
        <v>2199</v>
      </c>
      <c r="H257" s="296" t="s">
        <v>661</v>
      </c>
      <c r="I257" s="296" t="s">
        <v>1963</v>
      </c>
      <c r="J257" s="312">
        <v>896</v>
      </c>
      <c r="K257" s="312">
        <f t="shared" si="55"/>
        <v>806.4</v>
      </c>
      <c r="L257" s="311">
        <v>784</v>
      </c>
      <c r="M257" s="282">
        <v>784</v>
      </c>
      <c r="N257" s="312">
        <v>784</v>
      </c>
      <c r="O257" s="312">
        <v>784</v>
      </c>
      <c r="P257" s="393">
        <f t="shared" si="56"/>
        <v>0</v>
      </c>
      <c r="Q257" s="393">
        <f t="shared" si="57"/>
        <v>0</v>
      </c>
      <c r="R257" s="387"/>
      <c r="S257" s="289"/>
    </row>
    <row r="258" spans="1:19" s="865" customFormat="1" ht="83.45" customHeight="1">
      <c r="A258" s="304">
        <v>5</v>
      </c>
      <c r="B258" s="315" t="s">
        <v>1748</v>
      </c>
      <c r="C258" s="279" t="s">
        <v>89</v>
      </c>
      <c r="D258" s="314" t="s">
        <v>1749</v>
      </c>
      <c r="E258" s="330" t="s">
        <v>716</v>
      </c>
      <c r="F258" s="331" t="s">
        <v>1750</v>
      </c>
      <c r="G258" s="296" t="s">
        <v>2199</v>
      </c>
      <c r="H258" s="296" t="s">
        <v>661</v>
      </c>
      <c r="I258" s="296" t="s">
        <v>1962</v>
      </c>
      <c r="J258" s="312">
        <v>2208</v>
      </c>
      <c r="K258" s="312">
        <f t="shared" si="55"/>
        <v>1987.2</v>
      </c>
      <c r="L258" s="311">
        <v>1980</v>
      </c>
      <c r="M258" s="282">
        <v>1980</v>
      </c>
      <c r="N258" s="312">
        <v>1980</v>
      </c>
      <c r="O258" s="312">
        <v>1980</v>
      </c>
      <c r="P258" s="393">
        <f t="shared" si="56"/>
        <v>0</v>
      </c>
      <c r="Q258" s="393">
        <f t="shared" si="57"/>
        <v>0</v>
      </c>
      <c r="R258" s="387"/>
      <c r="S258" s="289"/>
    </row>
    <row r="259" spans="1:19" s="865" customFormat="1" ht="171" customHeight="1">
      <c r="A259" s="304">
        <v>6</v>
      </c>
      <c r="B259" s="315" t="s">
        <v>1751</v>
      </c>
      <c r="C259" s="279" t="s">
        <v>89</v>
      </c>
      <c r="D259" s="314" t="s">
        <v>1752</v>
      </c>
      <c r="E259" s="330" t="s">
        <v>716</v>
      </c>
      <c r="F259" s="331" t="s">
        <v>1753</v>
      </c>
      <c r="G259" s="296" t="s">
        <v>2199</v>
      </c>
      <c r="H259" s="296" t="s">
        <v>661</v>
      </c>
      <c r="I259" s="296" t="s">
        <v>1961</v>
      </c>
      <c r="J259" s="312">
        <v>689</v>
      </c>
      <c r="K259" s="312">
        <f t="shared" si="55"/>
        <v>620.1</v>
      </c>
      <c r="L259" s="311">
        <v>591</v>
      </c>
      <c r="M259" s="282">
        <v>591</v>
      </c>
      <c r="N259" s="312">
        <v>591</v>
      </c>
      <c r="O259" s="312">
        <v>591</v>
      </c>
      <c r="P259" s="393">
        <f t="shared" si="56"/>
        <v>0</v>
      </c>
      <c r="Q259" s="393">
        <f t="shared" si="57"/>
        <v>0</v>
      </c>
      <c r="R259" s="387"/>
      <c r="S259" s="289"/>
    </row>
    <row r="260" spans="1:19" s="865" customFormat="1" ht="77.099999999999994" customHeight="1">
      <c r="A260" s="304">
        <v>7</v>
      </c>
      <c r="B260" s="334" t="s">
        <v>1754</v>
      </c>
      <c r="C260" s="278" t="s">
        <v>89</v>
      </c>
      <c r="D260" s="278">
        <v>7870776</v>
      </c>
      <c r="E260" s="330" t="s">
        <v>716</v>
      </c>
      <c r="F260" s="279" t="s">
        <v>1755</v>
      </c>
      <c r="G260" s="297" t="s">
        <v>2200</v>
      </c>
      <c r="H260" s="862" t="s">
        <v>673</v>
      </c>
      <c r="I260" s="320" t="s">
        <v>1960</v>
      </c>
      <c r="J260" s="280">
        <v>11637</v>
      </c>
      <c r="K260" s="321">
        <f>J260*0.8</f>
        <v>9309.6</v>
      </c>
      <c r="L260" s="311">
        <v>8638</v>
      </c>
      <c r="M260" s="311">
        <v>8638</v>
      </c>
      <c r="N260" s="312">
        <f>2578+3000+3060</f>
        <v>8638</v>
      </c>
      <c r="O260" s="312">
        <v>8638</v>
      </c>
      <c r="P260" s="393">
        <f t="shared" si="56"/>
        <v>0</v>
      </c>
      <c r="Q260" s="393">
        <f t="shared" si="57"/>
        <v>0</v>
      </c>
      <c r="R260" s="304"/>
      <c r="S260" s="289"/>
    </row>
    <row r="261" spans="1:19" s="866" customFormat="1" ht="150" customHeight="1">
      <c r="A261" s="304">
        <v>8</v>
      </c>
      <c r="B261" s="283" t="s">
        <v>1756</v>
      </c>
      <c r="C261" s="203" t="s">
        <v>89</v>
      </c>
      <c r="D261" s="203">
        <v>7944369</v>
      </c>
      <c r="E261" s="278" t="s">
        <v>716</v>
      </c>
      <c r="F261" s="279" t="s">
        <v>1757</v>
      </c>
      <c r="G261" s="297" t="s">
        <v>1758</v>
      </c>
      <c r="H261" s="863" t="s">
        <v>1318</v>
      </c>
      <c r="I261" s="279" t="s">
        <v>2413</v>
      </c>
      <c r="J261" s="282">
        <v>25875</v>
      </c>
      <c r="K261" s="282">
        <v>25875</v>
      </c>
      <c r="L261" s="311">
        <v>12900</v>
      </c>
      <c r="M261" s="311">
        <v>12900</v>
      </c>
      <c r="N261" s="312">
        <f>2000+4500+6400</f>
        <v>12900</v>
      </c>
      <c r="O261" s="312">
        <v>12900</v>
      </c>
      <c r="P261" s="393">
        <f t="shared" si="56"/>
        <v>0</v>
      </c>
      <c r="Q261" s="393">
        <f t="shared" si="57"/>
        <v>0</v>
      </c>
      <c r="R261" s="325"/>
      <c r="S261" s="284"/>
    </row>
    <row r="262" spans="1:19" s="866" customFormat="1" ht="103.9" customHeight="1">
      <c r="A262" s="304">
        <v>9</v>
      </c>
      <c r="B262" s="283" t="s">
        <v>1760</v>
      </c>
      <c r="C262" s="203" t="s">
        <v>89</v>
      </c>
      <c r="D262" s="203">
        <v>7870775</v>
      </c>
      <c r="E262" s="278" t="s">
        <v>1597</v>
      </c>
      <c r="F262" s="279" t="s">
        <v>1757</v>
      </c>
      <c r="G262" s="297" t="s">
        <v>1761</v>
      </c>
      <c r="H262" s="297" t="s">
        <v>1318</v>
      </c>
      <c r="I262" s="279" t="s">
        <v>2414</v>
      </c>
      <c r="J262" s="282">
        <v>41000</v>
      </c>
      <c r="K262" s="282">
        <v>41000</v>
      </c>
      <c r="L262" s="311">
        <v>11083</v>
      </c>
      <c r="M262" s="311">
        <v>11083</v>
      </c>
      <c r="N262" s="312">
        <f>2000+8000+1083</f>
        <v>11083</v>
      </c>
      <c r="O262" s="312">
        <v>11083</v>
      </c>
      <c r="P262" s="393">
        <f t="shared" si="56"/>
        <v>0</v>
      </c>
      <c r="Q262" s="393"/>
      <c r="R262" s="838"/>
      <c r="S262" s="284"/>
    </row>
    <row r="263" spans="1:19" s="866" customFormat="1" ht="99.95" customHeight="1">
      <c r="A263" s="304">
        <v>10</v>
      </c>
      <c r="B263" s="283" t="s">
        <v>1763</v>
      </c>
      <c r="C263" s="203" t="s">
        <v>89</v>
      </c>
      <c r="D263" s="203">
        <v>7879636</v>
      </c>
      <c r="E263" s="278" t="s">
        <v>1597</v>
      </c>
      <c r="F263" s="279" t="s">
        <v>1757</v>
      </c>
      <c r="G263" s="297" t="s">
        <v>1764</v>
      </c>
      <c r="H263" s="297" t="s">
        <v>1318</v>
      </c>
      <c r="I263" s="464" t="s">
        <v>2415</v>
      </c>
      <c r="J263" s="282">
        <v>25800</v>
      </c>
      <c r="K263" s="282">
        <v>25800</v>
      </c>
      <c r="L263" s="311">
        <v>11000</v>
      </c>
      <c r="M263" s="311">
        <v>11000</v>
      </c>
      <c r="N263" s="312">
        <f>2000+4500+4500</f>
        <v>11000</v>
      </c>
      <c r="O263" s="312">
        <v>11000</v>
      </c>
      <c r="P263" s="393">
        <f t="shared" si="56"/>
        <v>0</v>
      </c>
      <c r="Q263" s="393">
        <f>M263-N263</f>
        <v>0</v>
      </c>
      <c r="R263" s="325"/>
      <c r="S263" s="284"/>
    </row>
    <row r="264" spans="1:19" s="866" customFormat="1" ht="71.099999999999994" customHeight="1">
      <c r="A264" s="304">
        <v>11</v>
      </c>
      <c r="B264" s="283" t="s">
        <v>1766</v>
      </c>
      <c r="C264" s="203" t="s">
        <v>89</v>
      </c>
      <c r="D264" s="203"/>
      <c r="E264" s="278" t="s">
        <v>716</v>
      </c>
      <c r="F264" s="279" t="s">
        <v>1767</v>
      </c>
      <c r="G264" s="297"/>
      <c r="H264" s="278" t="s">
        <v>1334</v>
      </c>
      <c r="I264" s="279"/>
      <c r="J264" s="282">
        <v>34900</v>
      </c>
      <c r="K264" s="282">
        <v>34900</v>
      </c>
      <c r="L264" s="311">
        <v>500</v>
      </c>
      <c r="M264" s="311">
        <v>235</v>
      </c>
      <c r="N264" s="312">
        <v>0</v>
      </c>
      <c r="O264" s="312">
        <v>235</v>
      </c>
      <c r="P264" s="393">
        <f t="shared" si="56"/>
        <v>0</v>
      </c>
      <c r="Q264" s="393"/>
      <c r="R264" s="381"/>
      <c r="S264" s="284"/>
    </row>
    <row r="265" spans="1:19" s="866" customFormat="1" ht="71.099999999999994" customHeight="1">
      <c r="A265" s="304">
        <v>12</v>
      </c>
      <c r="B265" s="283" t="s">
        <v>1768</v>
      </c>
      <c r="C265" s="203" t="s">
        <v>89</v>
      </c>
      <c r="D265" s="203"/>
      <c r="E265" s="278" t="s">
        <v>716</v>
      </c>
      <c r="F265" s="279" t="s">
        <v>1767</v>
      </c>
      <c r="G265" s="297"/>
      <c r="H265" s="278" t="s">
        <v>1334</v>
      </c>
      <c r="I265" s="278"/>
      <c r="J265" s="388">
        <v>39000</v>
      </c>
      <c r="K265" s="386">
        <v>39000</v>
      </c>
      <c r="L265" s="311">
        <v>500</v>
      </c>
      <c r="M265" s="311">
        <v>235</v>
      </c>
      <c r="N265" s="312">
        <v>0</v>
      </c>
      <c r="O265" s="312">
        <v>235</v>
      </c>
      <c r="P265" s="393">
        <f t="shared" si="56"/>
        <v>0</v>
      </c>
      <c r="Q265" s="393"/>
      <c r="R265" s="381"/>
      <c r="S265" s="284"/>
    </row>
    <row r="266" spans="1:19" s="866" customFormat="1" ht="71.099999999999994" customHeight="1">
      <c r="A266" s="304">
        <v>13</v>
      </c>
      <c r="B266" s="319" t="s">
        <v>1769</v>
      </c>
      <c r="C266" s="203" t="s">
        <v>89</v>
      </c>
      <c r="D266" s="278"/>
      <c r="E266" s="278" t="s">
        <v>716</v>
      </c>
      <c r="F266" s="278" t="s">
        <v>1770</v>
      </c>
      <c r="G266" s="278"/>
      <c r="H266" s="278" t="s">
        <v>1334</v>
      </c>
      <c r="I266" s="388"/>
      <c r="J266" s="388">
        <v>32000</v>
      </c>
      <c r="K266" s="388">
        <v>32000</v>
      </c>
      <c r="L266" s="311">
        <v>500</v>
      </c>
      <c r="M266" s="311">
        <v>235</v>
      </c>
      <c r="N266" s="312">
        <v>0</v>
      </c>
      <c r="O266" s="312">
        <v>235</v>
      </c>
      <c r="P266" s="393">
        <f t="shared" si="56"/>
        <v>0</v>
      </c>
      <c r="Q266" s="393"/>
      <c r="R266" s="381"/>
      <c r="S266" s="284"/>
    </row>
    <row r="267" spans="1:19" s="866" customFormat="1" ht="71.099999999999994" customHeight="1">
      <c r="A267" s="304">
        <v>14</v>
      </c>
      <c r="B267" s="283" t="s">
        <v>1771</v>
      </c>
      <c r="C267" s="203" t="s">
        <v>89</v>
      </c>
      <c r="D267" s="278"/>
      <c r="E267" s="278" t="s">
        <v>716</v>
      </c>
      <c r="F267" s="278" t="s">
        <v>1770</v>
      </c>
      <c r="G267" s="203"/>
      <c r="H267" s="297" t="s">
        <v>1334</v>
      </c>
      <c r="I267" s="279"/>
      <c r="J267" s="282">
        <v>8000</v>
      </c>
      <c r="K267" s="282">
        <v>8000</v>
      </c>
      <c r="L267" s="311">
        <v>500</v>
      </c>
      <c r="M267" s="311">
        <v>235</v>
      </c>
      <c r="N267" s="312">
        <v>0</v>
      </c>
      <c r="O267" s="312">
        <v>235</v>
      </c>
      <c r="P267" s="393">
        <f t="shared" si="56"/>
        <v>0</v>
      </c>
      <c r="Q267" s="393"/>
      <c r="R267" s="381"/>
      <c r="S267" s="284"/>
    </row>
    <row r="268" spans="1:19" s="865" customFormat="1" ht="45" customHeight="1">
      <c r="A268" s="839" t="s">
        <v>167</v>
      </c>
      <c r="B268" s="292" t="s">
        <v>1772</v>
      </c>
      <c r="C268" s="839"/>
      <c r="D268" s="839"/>
      <c r="E268" s="839"/>
      <c r="F268" s="839"/>
      <c r="G268" s="839"/>
      <c r="H268" s="839"/>
      <c r="I268" s="290"/>
      <c r="J268" s="291">
        <f>J269+J276</f>
        <v>177386</v>
      </c>
      <c r="K268" s="291">
        <f t="shared" ref="K268:Q268" si="58">K269+K276</f>
        <v>163552</v>
      </c>
      <c r="L268" s="291">
        <f t="shared" si="58"/>
        <v>83952</v>
      </c>
      <c r="M268" s="291">
        <f t="shared" si="58"/>
        <v>83952</v>
      </c>
      <c r="N268" s="291">
        <f t="shared" si="58"/>
        <v>49169</v>
      </c>
      <c r="O268" s="291">
        <f t="shared" si="58"/>
        <v>83952</v>
      </c>
      <c r="P268" s="291">
        <f t="shared" si="58"/>
        <v>458</v>
      </c>
      <c r="Q268" s="291">
        <f t="shared" si="58"/>
        <v>458</v>
      </c>
      <c r="R268" s="291"/>
      <c r="S268" s="289"/>
    </row>
    <row r="269" spans="1:19" s="865" customFormat="1" ht="59.45" customHeight="1">
      <c r="A269" s="839" t="s">
        <v>279</v>
      </c>
      <c r="B269" s="372" t="s">
        <v>1844</v>
      </c>
      <c r="C269" s="839"/>
      <c r="D269" s="839"/>
      <c r="E269" s="839"/>
      <c r="F269" s="839"/>
      <c r="G269" s="839"/>
      <c r="H269" s="839"/>
      <c r="I269" s="290"/>
      <c r="J269" s="379">
        <f>SUM(J270:J275)</f>
        <v>22838</v>
      </c>
      <c r="K269" s="379">
        <f t="shared" ref="K269:Q269" si="59">SUM(K270:K275)</f>
        <v>18306.8</v>
      </c>
      <c r="L269" s="379">
        <f t="shared" si="59"/>
        <v>5039</v>
      </c>
      <c r="M269" s="379">
        <f t="shared" si="59"/>
        <v>5039</v>
      </c>
      <c r="N269" s="379">
        <f t="shared" si="59"/>
        <v>5039</v>
      </c>
      <c r="O269" s="379">
        <f t="shared" si="59"/>
        <v>5039</v>
      </c>
      <c r="P269" s="379">
        <f t="shared" si="59"/>
        <v>0</v>
      </c>
      <c r="Q269" s="379">
        <f t="shared" si="59"/>
        <v>0</v>
      </c>
      <c r="R269" s="309"/>
      <c r="S269" s="289"/>
    </row>
    <row r="270" spans="1:19" s="868" customFormat="1" ht="81.95" customHeight="1">
      <c r="A270" s="316">
        <v>1</v>
      </c>
      <c r="B270" s="315" t="s">
        <v>1773</v>
      </c>
      <c r="C270" s="279" t="s">
        <v>89</v>
      </c>
      <c r="D270" s="330" t="s">
        <v>1774</v>
      </c>
      <c r="E270" s="330" t="s">
        <v>687</v>
      </c>
      <c r="F270" s="331" t="s">
        <v>1775</v>
      </c>
      <c r="G270" s="296" t="s">
        <v>1279</v>
      </c>
      <c r="H270" s="296" t="s">
        <v>661</v>
      </c>
      <c r="I270" s="296" t="s">
        <v>1958</v>
      </c>
      <c r="J270" s="312">
        <v>8235</v>
      </c>
      <c r="K270" s="312">
        <f>0.9*J270</f>
        <v>7411.5</v>
      </c>
      <c r="L270" s="311">
        <v>2150</v>
      </c>
      <c r="M270" s="282">
        <v>2150</v>
      </c>
      <c r="N270" s="312">
        <v>2150</v>
      </c>
      <c r="O270" s="312">
        <v>2150</v>
      </c>
      <c r="P270" s="393"/>
      <c r="Q270" s="393">
        <f>M270-N270</f>
        <v>0</v>
      </c>
      <c r="R270" s="387"/>
      <c r="S270" s="317"/>
    </row>
    <row r="271" spans="1:19" s="867" customFormat="1" ht="99.95" customHeight="1">
      <c r="A271" s="316">
        <v>2</v>
      </c>
      <c r="B271" s="281" t="s">
        <v>1776</v>
      </c>
      <c r="C271" s="279" t="s">
        <v>89</v>
      </c>
      <c r="D271" s="278" t="s">
        <v>1777</v>
      </c>
      <c r="E271" s="296" t="s">
        <v>1778</v>
      </c>
      <c r="F271" s="297" t="s">
        <v>1779</v>
      </c>
      <c r="G271" s="296" t="s">
        <v>1266</v>
      </c>
      <c r="H271" s="296" t="s">
        <v>1025</v>
      </c>
      <c r="I271" s="296" t="s">
        <v>1959</v>
      </c>
      <c r="J271" s="311">
        <v>1995</v>
      </c>
      <c r="K271" s="311">
        <f>J271*0.7</f>
        <v>1396.5</v>
      </c>
      <c r="L271" s="311">
        <v>197</v>
      </c>
      <c r="M271" s="282">
        <v>197</v>
      </c>
      <c r="N271" s="312">
        <v>197</v>
      </c>
      <c r="O271" s="312">
        <v>197</v>
      </c>
      <c r="P271" s="393"/>
      <c r="Q271" s="393">
        <f>M271-N271</f>
        <v>0</v>
      </c>
      <c r="R271" s="387"/>
      <c r="S271" s="313"/>
    </row>
    <row r="272" spans="1:19" s="867" customFormat="1" ht="119.25" customHeight="1">
      <c r="A272" s="316">
        <v>3</v>
      </c>
      <c r="B272" s="281" t="s">
        <v>1780</v>
      </c>
      <c r="C272" s="279" t="s">
        <v>89</v>
      </c>
      <c r="D272" s="278">
        <v>7830087</v>
      </c>
      <c r="E272" s="296" t="s">
        <v>1781</v>
      </c>
      <c r="F272" s="297" t="s">
        <v>1782</v>
      </c>
      <c r="G272" s="296" t="s">
        <v>1247</v>
      </c>
      <c r="H272" s="296" t="s">
        <v>1025</v>
      </c>
      <c r="I272" s="296" t="s">
        <v>1943</v>
      </c>
      <c r="J272" s="311">
        <v>3643</v>
      </c>
      <c r="K272" s="311">
        <f>J272*0.7</f>
        <v>2550.1</v>
      </c>
      <c r="L272" s="311">
        <v>224</v>
      </c>
      <c r="M272" s="282">
        <v>224</v>
      </c>
      <c r="N272" s="312">
        <v>224</v>
      </c>
      <c r="O272" s="312">
        <v>224</v>
      </c>
      <c r="P272" s="393"/>
      <c r="Q272" s="393">
        <f>M272-N272</f>
        <v>0</v>
      </c>
      <c r="R272" s="387"/>
      <c r="S272" s="313"/>
    </row>
    <row r="273" spans="1:19" s="867" customFormat="1" ht="119.25" customHeight="1">
      <c r="A273" s="316">
        <v>4</v>
      </c>
      <c r="B273" s="281" t="s">
        <v>1783</v>
      </c>
      <c r="C273" s="279" t="s">
        <v>89</v>
      </c>
      <c r="D273" s="278">
        <v>7849836</v>
      </c>
      <c r="E273" s="296" t="s">
        <v>1784</v>
      </c>
      <c r="F273" s="297" t="s">
        <v>688</v>
      </c>
      <c r="G273" s="296" t="s">
        <v>1266</v>
      </c>
      <c r="H273" s="296" t="s">
        <v>1025</v>
      </c>
      <c r="I273" s="296" t="s">
        <v>1944</v>
      </c>
      <c r="J273" s="311">
        <v>4915</v>
      </c>
      <c r="K273" s="311">
        <f>J273*0.7</f>
        <v>3440.5</v>
      </c>
      <c r="L273" s="311">
        <v>678</v>
      </c>
      <c r="M273" s="282">
        <v>678</v>
      </c>
      <c r="N273" s="312">
        <v>678</v>
      </c>
      <c r="O273" s="312">
        <v>678</v>
      </c>
      <c r="P273" s="393">
        <f>N273-M273</f>
        <v>0</v>
      </c>
      <c r="Q273" s="393"/>
      <c r="R273" s="387"/>
      <c r="S273" s="313"/>
    </row>
    <row r="274" spans="1:19" s="867" customFormat="1" ht="75.599999999999994" customHeight="1">
      <c r="A274" s="316">
        <v>5</v>
      </c>
      <c r="B274" s="281" t="s">
        <v>1785</v>
      </c>
      <c r="C274" s="279" t="s">
        <v>89</v>
      </c>
      <c r="D274" s="278">
        <v>7827418</v>
      </c>
      <c r="E274" s="296" t="s">
        <v>1786</v>
      </c>
      <c r="F274" s="297" t="s">
        <v>1787</v>
      </c>
      <c r="G274" s="296" t="s">
        <v>1266</v>
      </c>
      <c r="H274" s="296" t="s">
        <v>1025</v>
      </c>
      <c r="I274" s="296" t="s">
        <v>1957</v>
      </c>
      <c r="J274" s="311">
        <v>1806</v>
      </c>
      <c r="K274" s="311">
        <f>J274*0.7</f>
        <v>1264.1999999999998</v>
      </c>
      <c r="L274" s="311">
        <v>200</v>
      </c>
      <c r="M274" s="282">
        <v>200</v>
      </c>
      <c r="N274" s="312">
        <v>200</v>
      </c>
      <c r="O274" s="312">
        <v>200</v>
      </c>
      <c r="P274" s="393"/>
      <c r="Q274" s="393">
        <f>M274-N274</f>
        <v>0</v>
      </c>
      <c r="R274" s="387"/>
      <c r="S274" s="313"/>
    </row>
    <row r="275" spans="1:19" s="867" customFormat="1" ht="60.95" customHeight="1">
      <c r="A275" s="316">
        <v>6</v>
      </c>
      <c r="B275" s="281" t="s">
        <v>1805</v>
      </c>
      <c r="C275" s="279" t="s">
        <v>89</v>
      </c>
      <c r="D275" s="278">
        <v>7827419</v>
      </c>
      <c r="E275" s="296" t="s">
        <v>1786</v>
      </c>
      <c r="F275" s="297" t="s">
        <v>1801</v>
      </c>
      <c r="G275" s="296" t="s">
        <v>1259</v>
      </c>
      <c r="H275" s="296" t="s">
        <v>1025</v>
      </c>
      <c r="I275" s="296" t="s">
        <v>1942</v>
      </c>
      <c r="J275" s="311">
        <v>2244</v>
      </c>
      <c r="K275" s="311">
        <f>J275</f>
        <v>2244</v>
      </c>
      <c r="L275" s="311">
        <v>1590</v>
      </c>
      <c r="M275" s="282">
        <v>1590</v>
      </c>
      <c r="N275" s="312">
        <v>1590</v>
      </c>
      <c r="O275" s="312">
        <v>1590</v>
      </c>
      <c r="P275" s="393">
        <f>N275-M275</f>
        <v>0</v>
      </c>
      <c r="Q275" s="393"/>
      <c r="R275" s="387"/>
      <c r="S275" s="313"/>
    </row>
    <row r="276" spans="1:19" s="867" customFormat="1" ht="99.95" customHeight="1">
      <c r="A276" s="316" t="s">
        <v>98</v>
      </c>
      <c r="B276" s="294" t="s">
        <v>685</v>
      </c>
      <c r="C276" s="279"/>
      <c r="D276" s="278"/>
      <c r="E276" s="296"/>
      <c r="F276" s="297"/>
      <c r="G276" s="296"/>
      <c r="H276" s="296"/>
      <c r="I276" s="296"/>
      <c r="J276" s="378">
        <f>SUM(J277:J296)</f>
        <v>154548</v>
      </c>
      <c r="K276" s="378">
        <f t="shared" ref="K276:Q276" si="60">SUM(K277:K296)</f>
        <v>145245.20000000001</v>
      </c>
      <c r="L276" s="378">
        <f t="shared" si="60"/>
        <v>78913</v>
      </c>
      <c r="M276" s="378">
        <f t="shared" si="60"/>
        <v>78913</v>
      </c>
      <c r="N276" s="378">
        <f t="shared" si="60"/>
        <v>44130</v>
      </c>
      <c r="O276" s="378">
        <f t="shared" si="60"/>
        <v>78913</v>
      </c>
      <c r="P276" s="378">
        <f t="shared" si="60"/>
        <v>458</v>
      </c>
      <c r="Q276" s="378">
        <f t="shared" si="60"/>
        <v>458</v>
      </c>
      <c r="R276" s="387"/>
      <c r="S276" s="313"/>
    </row>
    <row r="277" spans="1:19" s="868" customFormat="1" ht="160.5" customHeight="1">
      <c r="A277" s="316">
        <v>1</v>
      </c>
      <c r="B277" s="315" t="s">
        <v>1788</v>
      </c>
      <c r="C277" s="279" t="s">
        <v>89</v>
      </c>
      <c r="D277" s="330">
        <v>7881424</v>
      </c>
      <c r="E277" s="330" t="s">
        <v>687</v>
      </c>
      <c r="F277" s="331" t="s">
        <v>1789</v>
      </c>
      <c r="G277" s="296" t="s">
        <v>2199</v>
      </c>
      <c r="H277" s="296" t="s">
        <v>661</v>
      </c>
      <c r="I277" s="296" t="s">
        <v>1945</v>
      </c>
      <c r="J277" s="312">
        <v>5040</v>
      </c>
      <c r="K277" s="312">
        <f>J277*0.9</f>
        <v>4536</v>
      </c>
      <c r="L277" s="311">
        <v>3953</v>
      </c>
      <c r="M277" s="282">
        <v>3953</v>
      </c>
      <c r="N277" s="312">
        <v>3953</v>
      </c>
      <c r="O277" s="312">
        <v>3953</v>
      </c>
      <c r="P277" s="393">
        <f t="shared" ref="P277:P283" si="61">O277-M277</f>
        <v>0</v>
      </c>
      <c r="Q277" s="393">
        <f>M277-N277</f>
        <v>0</v>
      </c>
      <c r="R277" s="387"/>
      <c r="S277" s="317"/>
    </row>
    <row r="278" spans="1:19" s="868" customFormat="1" ht="74.45" customHeight="1">
      <c r="A278" s="316">
        <v>2</v>
      </c>
      <c r="B278" s="315" t="s">
        <v>1790</v>
      </c>
      <c r="C278" s="279" t="s">
        <v>89</v>
      </c>
      <c r="D278" s="330">
        <v>7881423</v>
      </c>
      <c r="E278" s="330" t="s">
        <v>687</v>
      </c>
      <c r="F278" s="331" t="s">
        <v>1791</v>
      </c>
      <c r="G278" s="296" t="s">
        <v>2201</v>
      </c>
      <c r="H278" s="296" t="s">
        <v>661</v>
      </c>
      <c r="I278" s="296" t="s">
        <v>1946</v>
      </c>
      <c r="J278" s="312">
        <v>2800</v>
      </c>
      <c r="K278" s="312">
        <f t="shared" ref="K278:K283" si="62">J278*0.9</f>
        <v>2520</v>
      </c>
      <c r="L278" s="311">
        <v>2333</v>
      </c>
      <c r="M278" s="282">
        <v>2333</v>
      </c>
      <c r="N278" s="312">
        <v>2333</v>
      </c>
      <c r="O278" s="312">
        <v>2333</v>
      </c>
      <c r="P278" s="393">
        <f t="shared" si="61"/>
        <v>0</v>
      </c>
      <c r="Q278" s="393"/>
      <c r="R278" s="387"/>
      <c r="S278" s="317"/>
    </row>
    <row r="279" spans="1:19" s="868" customFormat="1" ht="77.45" customHeight="1">
      <c r="A279" s="316">
        <v>3</v>
      </c>
      <c r="B279" s="315" t="s">
        <v>1792</v>
      </c>
      <c r="C279" s="279" t="s">
        <v>89</v>
      </c>
      <c r="D279" s="314" t="s">
        <v>1793</v>
      </c>
      <c r="E279" s="330" t="s">
        <v>687</v>
      </c>
      <c r="F279" s="331" t="s">
        <v>1789</v>
      </c>
      <c r="G279" s="296" t="s">
        <v>2198</v>
      </c>
      <c r="H279" s="296" t="s">
        <v>661</v>
      </c>
      <c r="I279" s="296" t="s">
        <v>1947</v>
      </c>
      <c r="J279" s="312">
        <v>2706</v>
      </c>
      <c r="K279" s="312">
        <f t="shared" si="62"/>
        <v>2435.4</v>
      </c>
      <c r="L279" s="311">
        <v>2193</v>
      </c>
      <c r="M279" s="282">
        <v>2193</v>
      </c>
      <c r="N279" s="312">
        <v>2193</v>
      </c>
      <c r="O279" s="312">
        <v>2193</v>
      </c>
      <c r="P279" s="393">
        <f t="shared" si="61"/>
        <v>0</v>
      </c>
      <c r="Q279" s="393">
        <f t="shared" ref="Q279:Q285" si="63">M279-N279</f>
        <v>0</v>
      </c>
      <c r="R279" s="387"/>
      <c r="S279" s="317"/>
    </row>
    <row r="280" spans="1:19" s="868" customFormat="1" ht="137.25" customHeight="1">
      <c r="A280" s="316">
        <v>4</v>
      </c>
      <c r="B280" s="315" t="s">
        <v>1794</v>
      </c>
      <c r="C280" s="279" t="s">
        <v>89</v>
      </c>
      <c r="D280" s="314" t="s">
        <v>1795</v>
      </c>
      <c r="E280" s="330" t="s">
        <v>687</v>
      </c>
      <c r="F280" s="331" t="s">
        <v>1796</v>
      </c>
      <c r="G280" s="296" t="s">
        <v>2202</v>
      </c>
      <c r="H280" s="296" t="s">
        <v>661</v>
      </c>
      <c r="I280" s="296" t="s">
        <v>1948</v>
      </c>
      <c r="J280" s="312">
        <v>3000</v>
      </c>
      <c r="K280" s="312">
        <f t="shared" si="62"/>
        <v>2700</v>
      </c>
      <c r="L280" s="311">
        <v>2455</v>
      </c>
      <c r="M280" s="282">
        <v>2455</v>
      </c>
      <c r="N280" s="312">
        <v>2455</v>
      </c>
      <c r="O280" s="312">
        <v>2455</v>
      </c>
      <c r="P280" s="393">
        <f t="shared" si="61"/>
        <v>0</v>
      </c>
      <c r="Q280" s="393">
        <f t="shared" si="63"/>
        <v>0</v>
      </c>
      <c r="R280" s="387"/>
      <c r="S280" s="317"/>
    </row>
    <row r="281" spans="1:19" s="868" customFormat="1" ht="99.95" customHeight="1">
      <c r="A281" s="316">
        <v>5</v>
      </c>
      <c r="B281" s="315" t="s">
        <v>1797</v>
      </c>
      <c r="C281" s="279" t="s">
        <v>89</v>
      </c>
      <c r="D281" s="314" t="s">
        <v>1798</v>
      </c>
      <c r="E281" s="330" t="s">
        <v>687</v>
      </c>
      <c r="F281" s="331" t="s">
        <v>1799</v>
      </c>
      <c r="G281" s="296" t="s">
        <v>2203</v>
      </c>
      <c r="H281" s="296" t="s">
        <v>661</v>
      </c>
      <c r="I281" s="296" t="s">
        <v>1956</v>
      </c>
      <c r="J281" s="312">
        <v>778</v>
      </c>
      <c r="K281" s="312">
        <v>700</v>
      </c>
      <c r="L281" s="311">
        <v>617</v>
      </c>
      <c r="M281" s="282">
        <v>617</v>
      </c>
      <c r="N281" s="312">
        <v>617</v>
      </c>
      <c r="O281" s="312">
        <v>617</v>
      </c>
      <c r="P281" s="393">
        <f t="shared" si="61"/>
        <v>0</v>
      </c>
      <c r="Q281" s="393">
        <f t="shared" si="63"/>
        <v>0</v>
      </c>
      <c r="R281" s="387"/>
      <c r="S281" s="317"/>
    </row>
    <row r="282" spans="1:19" s="868" customFormat="1" ht="218.25" customHeight="1">
      <c r="A282" s="316">
        <v>6</v>
      </c>
      <c r="B282" s="315" t="s">
        <v>1800</v>
      </c>
      <c r="C282" s="279" t="s">
        <v>89</v>
      </c>
      <c r="D282" s="330">
        <v>7881419</v>
      </c>
      <c r="E282" s="330" t="s">
        <v>687</v>
      </c>
      <c r="F282" s="331" t="s">
        <v>1801</v>
      </c>
      <c r="G282" s="296" t="s">
        <v>2204</v>
      </c>
      <c r="H282" s="296" t="s">
        <v>661</v>
      </c>
      <c r="I282" s="296" t="s">
        <v>1954</v>
      </c>
      <c r="J282" s="312">
        <v>1946</v>
      </c>
      <c r="K282" s="312">
        <f t="shared" si="62"/>
        <v>1751.4</v>
      </c>
      <c r="L282" s="311">
        <v>1549</v>
      </c>
      <c r="M282" s="282">
        <v>1549</v>
      </c>
      <c r="N282" s="312">
        <v>1549</v>
      </c>
      <c r="O282" s="312">
        <v>1549</v>
      </c>
      <c r="P282" s="393">
        <f t="shared" si="61"/>
        <v>0</v>
      </c>
      <c r="Q282" s="393">
        <f t="shared" si="63"/>
        <v>0</v>
      </c>
      <c r="R282" s="387"/>
      <c r="S282" s="317"/>
    </row>
    <row r="283" spans="1:19" s="868" customFormat="1" ht="146.1" customHeight="1">
      <c r="A283" s="316">
        <v>7</v>
      </c>
      <c r="B283" s="315" t="s">
        <v>1802</v>
      </c>
      <c r="C283" s="279" t="s">
        <v>89</v>
      </c>
      <c r="D283" s="330" t="s">
        <v>1803</v>
      </c>
      <c r="E283" s="330" t="s">
        <v>687</v>
      </c>
      <c r="F283" s="331" t="s">
        <v>1804</v>
      </c>
      <c r="G283" s="296" t="s">
        <v>2182</v>
      </c>
      <c r="H283" s="296" t="s">
        <v>661</v>
      </c>
      <c r="I283" s="296" t="s">
        <v>1955</v>
      </c>
      <c r="J283" s="312">
        <v>500</v>
      </c>
      <c r="K283" s="312">
        <f t="shared" si="62"/>
        <v>450</v>
      </c>
      <c r="L283" s="311">
        <v>431</v>
      </c>
      <c r="M283" s="282">
        <v>431</v>
      </c>
      <c r="N283" s="312">
        <v>431</v>
      </c>
      <c r="O283" s="312">
        <v>431</v>
      </c>
      <c r="P283" s="393">
        <f t="shared" si="61"/>
        <v>0</v>
      </c>
      <c r="Q283" s="393">
        <f t="shared" si="63"/>
        <v>0</v>
      </c>
      <c r="R283" s="387"/>
      <c r="S283" s="317"/>
    </row>
    <row r="284" spans="1:19" s="866" customFormat="1" ht="141" customHeight="1">
      <c r="A284" s="316">
        <v>8</v>
      </c>
      <c r="B284" s="334" t="s">
        <v>1806</v>
      </c>
      <c r="C284" s="278" t="s">
        <v>89</v>
      </c>
      <c r="D284" s="469">
        <v>7888384</v>
      </c>
      <c r="E284" s="330" t="s">
        <v>687</v>
      </c>
      <c r="F284" s="279" t="s">
        <v>688</v>
      </c>
      <c r="G284" s="297" t="s">
        <v>2206</v>
      </c>
      <c r="H284" s="297" t="s">
        <v>1318</v>
      </c>
      <c r="I284" s="320" t="s">
        <v>1953</v>
      </c>
      <c r="J284" s="280">
        <v>7000</v>
      </c>
      <c r="K284" s="321">
        <f>J284*0.8</f>
        <v>5600</v>
      </c>
      <c r="L284" s="311">
        <v>5600</v>
      </c>
      <c r="M284" s="282">
        <v>5600</v>
      </c>
      <c r="N284" s="312">
        <v>5481</v>
      </c>
      <c r="O284" s="312">
        <v>5481</v>
      </c>
      <c r="P284" s="393"/>
      <c r="Q284" s="393">
        <f t="shared" si="63"/>
        <v>119</v>
      </c>
      <c r="R284" s="838" t="s">
        <v>2243</v>
      </c>
      <c r="S284" s="284"/>
    </row>
    <row r="285" spans="1:19" s="866" customFormat="1" ht="135.75" customHeight="1">
      <c r="A285" s="316">
        <v>9</v>
      </c>
      <c r="B285" s="334" t="s">
        <v>1807</v>
      </c>
      <c r="C285" s="278" t="s">
        <v>89</v>
      </c>
      <c r="D285" s="469">
        <v>7895870</v>
      </c>
      <c r="E285" s="330" t="s">
        <v>687</v>
      </c>
      <c r="F285" s="279" t="s">
        <v>692</v>
      </c>
      <c r="G285" s="297" t="s">
        <v>2206</v>
      </c>
      <c r="H285" s="297" t="s">
        <v>1318</v>
      </c>
      <c r="I285" s="320" t="s">
        <v>1950</v>
      </c>
      <c r="J285" s="280">
        <v>4464</v>
      </c>
      <c r="K285" s="321">
        <f>J285*0.8</f>
        <v>3571.2000000000003</v>
      </c>
      <c r="L285" s="311">
        <v>3571</v>
      </c>
      <c r="M285" s="311">
        <v>3571</v>
      </c>
      <c r="N285" s="312">
        <v>3386</v>
      </c>
      <c r="O285" s="312">
        <v>3386</v>
      </c>
      <c r="P285" s="393"/>
      <c r="Q285" s="393">
        <f t="shared" si="63"/>
        <v>185</v>
      </c>
      <c r="R285" s="838" t="s">
        <v>2243</v>
      </c>
      <c r="S285" s="284"/>
    </row>
    <row r="286" spans="1:19" s="866" customFormat="1" ht="74.099999999999994" customHeight="1">
      <c r="A286" s="316">
        <v>10</v>
      </c>
      <c r="B286" s="334" t="s">
        <v>1808</v>
      </c>
      <c r="C286" s="278" t="s">
        <v>89</v>
      </c>
      <c r="D286" s="469">
        <v>7895869</v>
      </c>
      <c r="E286" s="330" t="s">
        <v>687</v>
      </c>
      <c r="F286" s="279" t="s">
        <v>1809</v>
      </c>
      <c r="G286" s="297" t="s">
        <v>2206</v>
      </c>
      <c r="H286" s="297" t="s">
        <v>1318</v>
      </c>
      <c r="I286" s="320" t="s">
        <v>1951</v>
      </c>
      <c r="J286" s="280">
        <v>7000</v>
      </c>
      <c r="K286" s="321">
        <f>J286*0.8</f>
        <v>5600</v>
      </c>
      <c r="L286" s="311">
        <v>5600</v>
      </c>
      <c r="M286" s="311">
        <v>5600</v>
      </c>
      <c r="N286" s="312">
        <v>5477</v>
      </c>
      <c r="O286" s="312">
        <v>5477</v>
      </c>
      <c r="P286" s="393"/>
      <c r="Q286" s="393">
        <v>123</v>
      </c>
      <c r="R286" s="838" t="s">
        <v>2243</v>
      </c>
      <c r="S286" s="284"/>
    </row>
    <row r="287" spans="1:19" s="866" customFormat="1" ht="117" customHeight="1">
      <c r="A287" s="316">
        <v>11</v>
      </c>
      <c r="B287" s="334" t="s">
        <v>1810</v>
      </c>
      <c r="C287" s="278" t="s">
        <v>89</v>
      </c>
      <c r="D287" s="469">
        <v>7929330</v>
      </c>
      <c r="E287" s="330" t="s">
        <v>687</v>
      </c>
      <c r="F287" s="279" t="s">
        <v>1755</v>
      </c>
      <c r="G287" s="297" t="s">
        <v>2206</v>
      </c>
      <c r="H287" s="297" t="s">
        <v>1318</v>
      </c>
      <c r="I287" s="320" t="s">
        <v>1952</v>
      </c>
      <c r="J287" s="280">
        <v>2414</v>
      </c>
      <c r="K287" s="321">
        <f>J287*0.8</f>
        <v>1931.2</v>
      </c>
      <c r="L287" s="311">
        <v>1931</v>
      </c>
      <c r="M287" s="311">
        <v>1931</v>
      </c>
      <c r="N287" s="312">
        <v>1900</v>
      </c>
      <c r="O287" s="312">
        <v>1900</v>
      </c>
      <c r="P287" s="393"/>
      <c r="Q287" s="393">
        <f>M287-N287</f>
        <v>31</v>
      </c>
      <c r="R287" s="838" t="s">
        <v>2243</v>
      </c>
      <c r="S287" s="284"/>
    </row>
    <row r="288" spans="1:19" s="289" customFormat="1" ht="99.95" customHeight="1">
      <c r="A288" s="316">
        <v>12</v>
      </c>
      <c r="B288" s="315" t="s">
        <v>1811</v>
      </c>
      <c r="C288" s="278" t="s">
        <v>89</v>
      </c>
      <c r="D288" s="849">
        <v>7910035</v>
      </c>
      <c r="E288" s="330" t="s">
        <v>687</v>
      </c>
      <c r="F288" s="279" t="s">
        <v>1812</v>
      </c>
      <c r="G288" s="279" t="s">
        <v>2416</v>
      </c>
      <c r="H288" s="296" t="s">
        <v>1253</v>
      </c>
      <c r="I288" s="278" t="s">
        <v>2417</v>
      </c>
      <c r="J288" s="312">
        <v>36000</v>
      </c>
      <c r="K288" s="282">
        <v>36000</v>
      </c>
      <c r="L288" s="282">
        <v>14030</v>
      </c>
      <c r="M288" s="311">
        <v>14030</v>
      </c>
      <c r="N288" s="312">
        <v>5000</v>
      </c>
      <c r="O288" s="312">
        <v>14488</v>
      </c>
      <c r="P288" s="393">
        <f t="shared" ref="P288:P296" si="64">O288-M288</f>
        <v>458</v>
      </c>
      <c r="Q288" s="393"/>
      <c r="R288" s="298" t="s">
        <v>2381</v>
      </c>
    </row>
    <row r="289" spans="1:19" s="865" customFormat="1" ht="99.95" customHeight="1">
      <c r="A289" s="316">
        <v>13</v>
      </c>
      <c r="B289" s="315" t="s">
        <v>1813</v>
      </c>
      <c r="C289" s="278" t="s">
        <v>89</v>
      </c>
      <c r="D289" s="849">
        <v>7910036</v>
      </c>
      <c r="E289" s="330" t="s">
        <v>687</v>
      </c>
      <c r="F289" s="279" t="s">
        <v>1812</v>
      </c>
      <c r="G289" s="279" t="s">
        <v>1814</v>
      </c>
      <c r="H289" s="296" t="s">
        <v>1480</v>
      </c>
      <c r="I289" s="278" t="s">
        <v>1949</v>
      </c>
      <c r="J289" s="312">
        <v>26200</v>
      </c>
      <c r="K289" s="282">
        <v>26200</v>
      </c>
      <c r="L289" s="282">
        <v>26200</v>
      </c>
      <c r="M289" s="311">
        <v>26200</v>
      </c>
      <c r="N289" s="312">
        <v>6905</v>
      </c>
      <c r="O289" s="312">
        <v>26200</v>
      </c>
      <c r="P289" s="393">
        <f t="shared" si="64"/>
        <v>0</v>
      </c>
      <c r="Q289" s="393"/>
      <c r="R289" s="203"/>
      <c r="S289" s="289"/>
    </row>
    <row r="290" spans="1:19" s="865" customFormat="1" ht="79.5" customHeight="1">
      <c r="A290" s="316">
        <v>14</v>
      </c>
      <c r="B290" s="348" t="s">
        <v>1815</v>
      </c>
      <c r="C290" s="278" t="s">
        <v>89</v>
      </c>
      <c r="D290" s="849">
        <v>7910037</v>
      </c>
      <c r="E290" s="330" t="s">
        <v>687</v>
      </c>
      <c r="F290" s="279" t="s">
        <v>1812</v>
      </c>
      <c r="G290" s="296" t="s">
        <v>2205</v>
      </c>
      <c r="H290" s="297" t="s">
        <v>1318</v>
      </c>
      <c r="I290" s="389" t="s">
        <v>2267</v>
      </c>
      <c r="J290" s="282">
        <v>3500</v>
      </c>
      <c r="K290" s="282">
        <f>J290*0.7</f>
        <v>2450</v>
      </c>
      <c r="L290" s="282">
        <v>2450</v>
      </c>
      <c r="M290" s="311">
        <v>2450</v>
      </c>
      <c r="N290" s="312">
        <v>2450</v>
      </c>
      <c r="O290" s="312">
        <v>2450</v>
      </c>
      <c r="P290" s="393">
        <f t="shared" si="64"/>
        <v>0</v>
      </c>
      <c r="Q290" s="393"/>
      <c r="R290" s="203"/>
      <c r="S290" s="289"/>
    </row>
    <row r="291" spans="1:19" s="289" customFormat="1" ht="117.6" customHeight="1">
      <c r="A291" s="316">
        <v>15</v>
      </c>
      <c r="B291" s="348" t="s">
        <v>1816</v>
      </c>
      <c r="C291" s="278" t="s">
        <v>89</v>
      </c>
      <c r="D291" s="296"/>
      <c r="E291" s="330" t="s">
        <v>687</v>
      </c>
      <c r="F291" s="296" t="s">
        <v>1796</v>
      </c>
      <c r="G291" s="297" t="s">
        <v>1938</v>
      </c>
      <c r="H291" s="296" t="s">
        <v>1334</v>
      </c>
      <c r="I291" s="278"/>
      <c r="J291" s="312">
        <v>14000</v>
      </c>
      <c r="K291" s="282">
        <v>14000</v>
      </c>
      <c r="L291" s="282">
        <v>1000</v>
      </c>
      <c r="M291" s="282">
        <v>1000</v>
      </c>
      <c r="N291" s="312">
        <v>0</v>
      </c>
      <c r="O291" s="312">
        <v>1000</v>
      </c>
      <c r="P291" s="393">
        <f t="shared" si="64"/>
        <v>0</v>
      </c>
      <c r="Q291" s="393"/>
      <c r="R291" s="203"/>
    </row>
    <row r="292" spans="1:19" s="865" customFormat="1" ht="99.95" customHeight="1">
      <c r="A292" s="316">
        <v>16</v>
      </c>
      <c r="B292" s="348" t="s">
        <v>1817</v>
      </c>
      <c r="C292" s="278" t="s">
        <v>89</v>
      </c>
      <c r="D292" s="296"/>
      <c r="E292" s="330" t="s">
        <v>687</v>
      </c>
      <c r="F292" s="296" t="s">
        <v>1796</v>
      </c>
      <c r="G292" s="278" t="s">
        <v>1939</v>
      </c>
      <c r="H292" s="296" t="s">
        <v>1334</v>
      </c>
      <c r="I292" s="278"/>
      <c r="J292" s="312">
        <v>9000</v>
      </c>
      <c r="K292" s="282">
        <v>9000</v>
      </c>
      <c r="L292" s="282">
        <v>1000</v>
      </c>
      <c r="M292" s="282">
        <v>1000</v>
      </c>
      <c r="N292" s="312">
        <v>0</v>
      </c>
      <c r="O292" s="312">
        <v>1000</v>
      </c>
      <c r="P292" s="393">
        <f t="shared" si="64"/>
        <v>0</v>
      </c>
      <c r="Q292" s="393"/>
      <c r="R292" s="203"/>
      <c r="S292" s="289"/>
    </row>
    <row r="293" spans="1:19" s="865" customFormat="1" ht="99.95" customHeight="1">
      <c r="A293" s="316">
        <v>17</v>
      </c>
      <c r="B293" s="348" t="s">
        <v>1818</v>
      </c>
      <c r="C293" s="278" t="s">
        <v>89</v>
      </c>
      <c r="D293" s="296"/>
      <c r="E293" s="330" t="s">
        <v>687</v>
      </c>
      <c r="F293" s="296" t="s">
        <v>1819</v>
      </c>
      <c r="G293" s="278" t="s">
        <v>1820</v>
      </c>
      <c r="H293" s="296" t="s">
        <v>1334</v>
      </c>
      <c r="I293" s="278"/>
      <c r="J293" s="282">
        <v>8700</v>
      </c>
      <c r="K293" s="282">
        <f>J293</f>
        <v>8700</v>
      </c>
      <c r="L293" s="282">
        <v>1000</v>
      </c>
      <c r="M293" s="282">
        <v>1000</v>
      </c>
      <c r="N293" s="312">
        <v>0</v>
      </c>
      <c r="O293" s="312">
        <v>1000</v>
      </c>
      <c r="P293" s="393">
        <f t="shared" si="64"/>
        <v>0</v>
      </c>
      <c r="Q293" s="393"/>
      <c r="R293" s="203"/>
      <c r="S293" s="289"/>
    </row>
    <row r="294" spans="1:19" s="865" customFormat="1" ht="69.599999999999994" customHeight="1">
      <c r="A294" s="316">
        <v>18</v>
      </c>
      <c r="B294" s="315" t="s">
        <v>1821</v>
      </c>
      <c r="C294" s="278" t="s">
        <v>89</v>
      </c>
      <c r="D294" s="839"/>
      <c r="E294" s="330" t="s">
        <v>687</v>
      </c>
      <c r="F294" s="296" t="s">
        <v>1789</v>
      </c>
      <c r="G294" s="278" t="s">
        <v>1822</v>
      </c>
      <c r="H294" s="296" t="s">
        <v>1253</v>
      </c>
      <c r="I294" s="278" t="s">
        <v>2268</v>
      </c>
      <c r="J294" s="312">
        <v>4000</v>
      </c>
      <c r="K294" s="282">
        <f>J294*0.7</f>
        <v>2800</v>
      </c>
      <c r="L294" s="282">
        <v>1000</v>
      </c>
      <c r="M294" s="282">
        <v>1000</v>
      </c>
      <c r="N294" s="312">
        <v>0</v>
      </c>
      <c r="O294" s="312">
        <v>1000</v>
      </c>
      <c r="P294" s="393">
        <f t="shared" si="64"/>
        <v>0</v>
      </c>
      <c r="Q294" s="393"/>
      <c r="R294" s="203"/>
      <c r="S294" s="289"/>
    </row>
    <row r="295" spans="1:19" s="865" customFormat="1" ht="69.599999999999994" customHeight="1">
      <c r="A295" s="316">
        <v>19</v>
      </c>
      <c r="B295" s="315" t="s">
        <v>1823</v>
      </c>
      <c r="C295" s="839"/>
      <c r="D295" s="839"/>
      <c r="E295" s="330" t="s">
        <v>687</v>
      </c>
      <c r="F295" s="296" t="s">
        <v>1824</v>
      </c>
      <c r="G295" s="278" t="s">
        <v>1825</v>
      </c>
      <c r="H295" s="296" t="s">
        <v>1253</v>
      </c>
      <c r="I295" s="278" t="s">
        <v>2269</v>
      </c>
      <c r="J295" s="312">
        <v>4000</v>
      </c>
      <c r="K295" s="282">
        <f>J295*0.7</f>
        <v>2800</v>
      </c>
      <c r="L295" s="282">
        <v>1000</v>
      </c>
      <c r="M295" s="282">
        <v>1000</v>
      </c>
      <c r="N295" s="312">
        <v>0</v>
      </c>
      <c r="O295" s="312">
        <v>1000</v>
      </c>
      <c r="P295" s="393">
        <f t="shared" si="64"/>
        <v>0</v>
      </c>
      <c r="Q295" s="393"/>
      <c r="R295" s="203"/>
      <c r="S295" s="289"/>
    </row>
    <row r="296" spans="1:19" s="865" customFormat="1" ht="69.599999999999994" customHeight="1">
      <c r="A296" s="316">
        <v>20</v>
      </c>
      <c r="B296" s="348" t="s">
        <v>1826</v>
      </c>
      <c r="C296" s="278" t="s">
        <v>89</v>
      </c>
      <c r="D296" s="839"/>
      <c r="E296" s="330" t="s">
        <v>687</v>
      </c>
      <c r="F296" s="296" t="s">
        <v>1827</v>
      </c>
      <c r="G296" s="278"/>
      <c r="H296" s="296" t="s">
        <v>1334</v>
      </c>
      <c r="I296" s="290"/>
      <c r="J296" s="282">
        <v>11500</v>
      </c>
      <c r="K296" s="282">
        <f>J296</f>
        <v>11500</v>
      </c>
      <c r="L296" s="282">
        <v>1000</v>
      </c>
      <c r="M296" s="282">
        <v>1000</v>
      </c>
      <c r="N296" s="312">
        <v>0</v>
      </c>
      <c r="O296" s="312">
        <v>1000</v>
      </c>
      <c r="P296" s="393">
        <f t="shared" si="64"/>
        <v>0</v>
      </c>
      <c r="Q296" s="393"/>
      <c r="R296" s="203"/>
      <c r="S296" s="289"/>
    </row>
    <row r="297" spans="1:19" s="289" customFormat="1" ht="43.5" customHeight="1">
      <c r="A297" s="839" t="s">
        <v>169</v>
      </c>
      <c r="B297" s="292" t="s">
        <v>939</v>
      </c>
      <c r="C297" s="839"/>
      <c r="D297" s="839"/>
      <c r="E297" s="839"/>
      <c r="F297" s="839"/>
      <c r="G297" s="839"/>
      <c r="H297" s="839"/>
      <c r="I297" s="290"/>
      <c r="J297" s="291">
        <f>J298</f>
        <v>8000</v>
      </c>
      <c r="K297" s="291">
        <f t="shared" ref="K297:O298" si="65">K298</f>
        <v>4752</v>
      </c>
      <c r="L297" s="291">
        <f t="shared" si="65"/>
        <v>4752</v>
      </c>
      <c r="M297" s="291">
        <f t="shared" si="65"/>
        <v>4752</v>
      </c>
      <c r="N297" s="291">
        <f t="shared" si="65"/>
        <v>4020</v>
      </c>
      <c r="O297" s="291">
        <f t="shared" si="65"/>
        <v>4752</v>
      </c>
      <c r="P297" s="378"/>
      <c r="Q297" s="378"/>
      <c r="R297" s="293"/>
    </row>
    <row r="298" spans="1:19" s="289" customFormat="1" ht="69.95" customHeight="1">
      <c r="A298" s="839" t="s">
        <v>279</v>
      </c>
      <c r="B298" s="294" t="s">
        <v>685</v>
      </c>
      <c r="C298" s="839"/>
      <c r="D298" s="839"/>
      <c r="E298" s="839"/>
      <c r="F298" s="839"/>
      <c r="G298" s="839"/>
      <c r="H298" s="839"/>
      <c r="I298" s="290"/>
      <c r="J298" s="291">
        <f>J299</f>
        <v>8000</v>
      </c>
      <c r="K298" s="291">
        <f t="shared" si="65"/>
        <v>4752</v>
      </c>
      <c r="L298" s="291">
        <f t="shared" si="65"/>
        <v>4752</v>
      </c>
      <c r="M298" s="291">
        <f t="shared" si="65"/>
        <v>4752</v>
      </c>
      <c r="N298" s="291">
        <f t="shared" si="65"/>
        <v>4020</v>
      </c>
      <c r="O298" s="291">
        <f t="shared" si="65"/>
        <v>4752</v>
      </c>
      <c r="P298" s="378"/>
      <c r="Q298" s="378"/>
      <c r="R298" s="293"/>
    </row>
    <row r="299" spans="1:19" s="289" customFormat="1" ht="90" customHeight="1">
      <c r="A299" s="296">
        <v>1</v>
      </c>
      <c r="B299" s="348" t="s">
        <v>1828</v>
      </c>
      <c r="C299" s="296" t="s">
        <v>89</v>
      </c>
      <c r="D299" s="864">
        <v>8054866</v>
      </c>
      <c r="E299" s="296" t="s">
        <v>1081</v>
      </c>
      <c r="F299" s="296" t="s">
        <v>1829</v>
      </c>
      <c r="G299" s="296" t="s">
        <v>1830</v>
      </c>
      <c r="H299" s="296" t="s">
        <v>1480</v>
      </c>
      <c r="I299" s="278" t="s">
        <v>2418</v>
      </c>
      <c r="J299" s="282">
        <v>8000</v>
      </c>
      <c r="K299" s="282">
        <v>4752</v>
      </c>
      <c r="L299" s="282">
        <v>4752</v>
      </c>
      <c r="M299" s="312">
        <v>4752</v>
      </c>
      <c r="N299" s="312">
        <v>4020</v>
      </c>
      <c r="O299" s="312">
        <v>4752</v>
      </c>
      <c r="P299" s="393"/>
      <c r="Q299" s="393"/>
      <c r="R299" s="279"/>
    </row>
    <row r="300" spans="1:19" ht="20.25" customHeight="1">
      <c r="A300" s="1339" t="s">
        <v>1831</v>
      </c>
      <c r="B300" s="1340"/>
      <c r="C300" s="1340"/>
      <c r="D300" s="1340"/>
      <c r="E300" s="1340"/>
      <c r="F300" s="1340"/>
      <c r="G300" s="1340"/>
      <c r="H300" s="1340"/>
      <c r="I300" s="1340"/>
      <c r="J300" s="1340"/>
      <c r="K300" s="1340"/>
      <c r="L300" s="1340"/>
      <c r="M300" s="1340"/>
      <c r="N300" s="1340"/>
      <c r="O300" s="1340"/>
      <c r="P300" s="1340"/>
      <c r="Q300" s="1340"/>
      <c r="R300" s="1340"/>
    </row>
    <row r="301" spans="1:19">
      <c r="A301" s="1341"/>
      <c r="B301" s="1341"/>
      <c r="C301" s="1341"/>
      <c r="D301" s="1341"/>
      <c r="E301" s="1341"/>
      <c r="F301" s="1341"/>
      <c r="G301" s="1341"/>
      <c r="H301" s="1341"/>
      <c r="I301" s="1341"/>
      <c r="J301" s="1341"/>
      <c r="K301" s="1341"/>
      <c r="L301" s="1341"/>
      <c r="M301" s="843"/>
      <c r="N301" s="843"/>
      <c r="O301" s="843"/>
      <c r="P301" s="400"/>
      <c r="Q301" s="400"/>
    </row>
  </sheetData>
  <mergeCells count="26">
    <mergeCell ref="A1:R1"/>
    <mergeCell ref="A2:R2"/>
    <mergeCell ref="A3:R3"/>
    <mergeCell ref="K4:R4"/>
    <mergeCell ref="L5:M6"/>
    <mergeCell ref="N5:N8"/>
    <mergeCell ref="O5:Q6"/>
    <mergeCell ref="R5:R8"/>
    <mergeCell ref="L7:L8"/>
    <mergeCell ref="O7:O8"/>
    <mergeCell ref="P7:Q7"/>
    <mergeCell ref="M7:M8"/>
    <mergeCell ref="D5:D8"/>
    <mergeCell ref="I6:I8"/>
    <mergeCell ref="A300:R300"/>
    <mergeCell ref="A301:L301"/>
    <mergeCell ref="A5:A8"/>
    <mergeCell ref="B5:B8"/>
    <mergeCell ref="C5:C8"/>
    <mergeCell ref="J6:J8"/>
    <mergeCell ref="K6:K7"/>
    <mergeCell ref="E5:E8"/>
    <mergeCell ref="F5:F8"/>
    <mergeCell ref="G5:G8"/>
    <mergeCell ref="H5:H8"/>
    <mergeCell ref="I5:K5"/>
  </mergeCells>
  <printOptions horizontalCentered="1"/>
  <pageMargins left="0" right="0" top="0.5" bottom="0.5" header="0.3" footer="0.3"/>
  <pageSetup paperSize="9" scale="40" orientation="landscape" r:id="rId1"/>
  <headerFooter differentFirst="1">
    <oddHeader>&amp;C&amp;P</oddHeader>
    <firstHeader xml:space="preserve">&amp;C
</firstHead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105"/>
  <sheetViews>
    <sheetView zoomScale="70" zoomScaleNormal="70" workbookViewId="0">
      <selection activeCell="G10" sqref="G10"/>
    </sheetView>
  </sheetViews>
  <sheetFormatPr defaultColWidth="9.140625" defaultRowHeight="15"/>
  <cols>
    <col min="1" max="1" width="7" style="437" customWidth="1"/>
    <col min="2" max="2" width="52.42578125" style="437" customWidth="1"/>
    <col min="3" max="3" width="8.7109375" style="437" customWidth="1"/>
    <col min="4" max="4" width="16.28515625" style="437" customWidth="1"/>
    <col min="5" max="5" width="15.85546875" style="437" customWidth="1"/>
    <col min="6" max="6" width="15.5703125" style="437" customWidth="1"/>
    <col min="7" max="7" width="19.28515625" style="437" customWidth="1"/>
    <col min="8" max="8" width="15.140625" style="437" customWidth="1"/>
    <col min="9" max="9" width="13" style="437" customWidth="1"/>
    <col min="10" max="10" width="14.5703125" style="437" customWidth="1"/>
    <col min="11" max="11" width="0.140625" style="437" hidden="1" customWidth="1"/>
    <col min="12" max="12" width="15.85546875" style="437" customWidth="1"/>
    <col min="13" max="13" width="14.85546875" style="437" customWidth="1"/>
    <col min="14" max="14" width="12.85546875" style="437" customWidth="1"/>
    <col min="15" max="15" width="16.85546875" style="437" customWidth="1"/>
    <col min="16" max="16384" width="9.140625" style="437"/>
  </cols>
  <sheetData>
    <row r="1" spans="1:16" ht="26.25" customHeight="1">
      <c r="A1" s="1360" t="s">
        <v>1900</v>
      </c>
      <c r="B1" s="1360"/>
      <c r="C1" s="1360"/>
      <c r="D1" s="1360"/>
      <c r="E1" s="1360"/>
      <c r="F1" s="1360"/>
      <c r="G1" s="1360"/>
      <c r="H1" s="1360"/>
      <c r="I1" s="1360"/>
      <c r="J1" s="1360"/>
      <c r="K1" s="1360"/>
      <c r="L1" s="1360"/>
      <c r="M1" s="1360"/>
      <c r="N1" s="1360"/>
    </row>
    <row r="2" spans="1:16" ht="75" customHeight="1">
      <c r="A2" s="1360" t="s">
        <v>2156</v>
      </c>
      <c r="B2" s="1360"/>
      <c r="C2" s="1360"/>
      <c r="D2" s="1360"/>
      <c r="E2" s="1360"/>
      <c r="F2" s="1360"/>
      <c r="G2" s="1360"/>
      <c r="H2" s="1360"/>
      <c r="I2" s="1360"/>
      <c r="J2" s="1360"/>
      <c r="K2" s="1360"/>
      <c r="L2" s="1360"/>
      <c r="M2" s="1360"/>
      <c r="N2" s="1360"/>
    </row>
    <row r="3" spans="1:16" s="258" customFormat="1" ht="31.5" customHeight="1">
      <c r="A3" s="1361" t="s">
        <v>2375</v>
      </c>
      <c r="B3" s="1361"/>
      <c r="C3" s="1361"/>
      <c r="D3" s="1361"/>
      <c r="E3" s="1361"/>
      <c r="F3" s="1361"/>
      <c r="G3" s="1361"/>
      <c r="H3" s="1361"/>
      <c r="I3" s="1361"/>
      <c r="J3" s="1361"/>
      <c r="K3" s="1361"/>
      <c r="L3" s="1361"/>
      <c r="M3" s="1361"/>
      <c r="N3" s="1361"/>
    </row>
    <row r="4" spans="1:16" s="258" customFormat="1" ht="32.25" customHeight="1">
      <c r="A4" s="204"/>
      <c r="B4" s="205"/>
      <c r="C4" s="204"/>
      <c r="D4" s="205"/>
      <c r="E4" s="204"/>
      <c r="F4" s="204"/>
      <c r="G4" s="204"/>
      <c r="H4" s="206"/>
      <c r="I4" s="206"/>
      <c r="J4" s="206"/>
      <c r="K4" s="1362" t="s">
        <v>959</v>
      </c>
      <c r="L4" s="1362"/>
      <c r="M4" s="1362"/>
      <c r="N4" s="1362"/>
    </row>
    <row r="5" spans="1:16" s="258" customFormat="1" ht="172.5" customHeight="1">
      <c r="A5" s="207" t="s">
        <v>172</v>
      </c>
      <c r="B5" s="207" t="s">
        <v>975</v>
      </c>
      <c r="C5" s="207" t="s">
        <v>626</v>
      </c>
      <c r="D5" s="207" t="s">
        <v>606</v>
      </c>
      <c r="E5" s="207" t="s">
        <v>627</v>
      </c>
      <c r="F5" s="207" t="s">
        <v>976</v>
      </c>
      <c r="G5" s="207" t="s">
        <v>977</v>
      </c>
      <c r="H5" s="207" t="s">
        <v>175</v>
      </c>
      <c r="I5" s="207" t="s">
        <v>1901</v>
      </c>
      <c r="J5" s="207" t="s">
        <v>978</v>
      </c>
      <c r="K5" s="207" t="s">
        <v>979</v>
      </c>
      <c r="L5" s="207" t="s">
        <v>1904</v>
      </c>
      <c r="M5" s="207" t="s">
        <v>1905</v>
      </c>
      <c r="N5" s="207" t="s">
        <v>11</v>
      </c>
    </row>
    <row r="6" spans="1:16" s="258" customFormat="1" ht="18.75">
      <c r="A6" s="438">
        <v>1</v>
      </c>
      <c r="B6" s="438">
        <v>2</v>
      </c>
      <c r="C6" s="438">
        <v>3</v>
      </c>
      <c r="D6" s="438">
        <v>4</v>
      </c>
      <c r="E6" s="438">
        <v>5</v>
      </c>
      <c r="F6" s="438">
        <v>6</v>
      </c>
      <c r="G6" s="438">
        <v>7</v>
      </c>
      <c r="H6" s="438">
        <v>8</v>
      </c>
      <c r="I6" s="438">
        <v>9</v>
      </c>
      <c r="J6" s="438">
        <v>10</v>
      </c>
      <c r="K6" s="438">
        <v>12</v>
      </c>
      <c r="L6" s="438">
        <v>11</v>
      </c>
      <c r="M6" s="438">
        <v>12</v>
      </c>
      <c r="N6" s="438">
        <v>13</v>
      </c>
    </row>
    <row r="7" spans="1:16" s="442" customFormat="1" ht="45.75" customHeight="1">
      <c r="A7" s="439"/>
      <c r="B7" s="439" t="s">
        <v>980</v>
      </c>
      <c r="C7" s="439"/>
      <c r="D7" s="440"/>
      <c r="E7" s="439"/>
      <c r="F7" s="439"/>
      <c r="G7" s="439"/>
      <c r="H7" s="441">
        <f t="shared" ref="H7:M7" si="0">H8+H40</f>
        <v>2108313.0834729997</v>
      </c>
      <c r="I7" s="441">
        <f t="shared" si="0"/>
        <v>1486361.6704549999</v>
      </c>
      <c r="J7" s="441">
        <f t="shared" si="0"/>
        <v>1514481.5689389999</v>
      </c>
      <c r="K7" s="441">
        <f t="shared" si="0"/>
        <v>31880.825762</v>
      </c>
      <c r="L7" s="441">
        <f t="shared" si="0"/>
        <v>36898</v>
      </c>
      <c r="M7" s="441">
        <f t="shared" si="0"/>
        <v>36728</v>
      </c>
      <c r="N7" s="439"/>
      <c r="P7" s="459"/>
    </row>
    <row r="8" spans="1:16" s="258" customFormat="1" ht="31.5" customHeight="1">
      <c r="A8" s="207" t="s">
        <v>95</v>
      </c>
      <c r="B8" s="443" t="s">
        <v>981</v>
      </c>
      <c r="C8" s="207"/>
      <c r="D8" s="444"/>
      <c r="E8" s="207"/>
      <c r="F8" s="207"/>
      <c r="G8" s="207"/>
      <c r="H8" s="445">
        <f>SUM(H9:H39)</f>
        <v>774915</v>
      </c>
      <c r="I8" s="445">
        <f t="shared" ref="I8:M8" si="1">SUM(I9:I39)</f>
        <v>607096.66661399999</v>
      </c>
      <c r="J8" s="445">
        <f t="shared" si="1"/>
        <v>630067.56733600004</v>
      </c>
      <c r="K8" s="445">
        <f t="shared" si="1"/>
        <v>20307</v>
      </c>
      <c r="L8" s="445">
        <f t="shared" si="1"/>
        <v>24000</v>
      </c>
      <c r="M8" s="445">
        <f t="shared" si="1"/>
        <v>24000</v>
      </c>
      <c r="N8" s="207"/>
      <c r="O8" s="512"/>
    </row>
    <row r="9" spans="1:16" s="258" customFormat="1" ht="63.75" customHeight="1">
      <c r="A9" s="222">
        <v>1</v>
      </c>
      <c r="B9" s="211" t="s">
        <v>982</v>
      </c>
      <c r="C9" s="221" t="s">
        <v>89</v>
      </c>
      <c r="D9" s="221">
        <v>7609029</v>
      </c>
      <c r="E9" s="222" t="s">
        <v>960</v>
      </c>
      <c r="F9" s="222" t="s">
        <v>983</v>
      </c>
      <c r="G9" s="224" t="s">
        <v>984</v>
      </c>
      <c r="H9" s="424">
        <v>4852</v>
      </c>
      <c r="I9" s="246">
        <f>H9-1775</f>
        <v>3077</v>
      </c>
      <c r="J9" s="246">
        <v>4852</v>
      </c>
      <c r="K9" s="246">
        <v>101</v>
      </c>
      <c r="L9" s="246">
        <v>100</v>
      </c>
      <c r="M9" s="246">
        <v>100</v>
      </c>
      <c r="N9" s="257"/>
    </row>
    <row r="10" spans="1:16" s="258" customFormat="1" ht="71.25" customHeight="1">
      <c r="A10" s="212">
        <v>2</v>
      </c>
      <c r="B10" s="211" t="s">
        <v>985</v>
      </c>
      <c r="C10" s="221" t="s">
        <v>89</v>
      </c>
      <c r="D10" s="221">
        <v>7621643</v>
      </c>
      <c r="E10" s="222" t="s">
        <v>960</v>
      </c>
      <c r="F10" s="222" t="s">
        <v>983</v>
      </c>
      <c r="G10" s="224" t="s">
        <v>986</v>
      </c>
      <c r="H10" s="424">
        <v>13192</v>
      </c>
      <c r="I10" s="246">
        <f>H10-7926</f>
        <v>5266</v>
      </c>
      <c r="J10" s="246">
        <v>13192</v>
      </c>
      <c r="K10" s="246">
        <v>6818</v>
      </c>
      <c r="L10" s="246">
        <v>6803</v>
      </c>
      <c r="M10" s="246">
        <v>6803</v>
      </c>
      <c r="N10" s="257"/>
    </row>
    <row r="11" spans="1:16" s="446" customFormat="1" ht="64.5" customHeight="1">
      <c r="A11" s="222">
        <v>3</v>
      </c>
      <c r="B11" s="219" t="s">
        <v>987</v>
      </c>
      <c r="C11" s="223" t="s">
        <v>88</v>
      </c>
      <c r="D11" s="221">
        <v>7446848</v>
      </c>
      <c r="E11" s="222" t="s">
        <v>823</v>
      </c>
      <c r="F11" s="222" t="s">
        <v>988</v>
      </c>
      <c r="G11" s="223" t="s">
        <v>989</v>
      </c>
      <c r="H11" s="227">
        <v>77062</v>
      </c>
      <c r="I11" s="227">
        <f>H11-M11</f>
        <v>69195</v>
      </c>
      <c r="J11" s="227">
        <v>77062</v>
      </c>
      <c r="K11" s="227">
        <v>7867</v>
      </c>
      <c r="L11" s="227">
        <v>7867</v>
      </c>
      <c r="M11" s="227">
        <v>7867</v>
      </c>
      <c r="N11" s="227"/>
    </row>
    <row r="12" spans="1:16" s="446" customFormat="1" ht="67.5" customHeight="1">
      <c r="A12" s="212">
        <v>4</v>
      </c>
      <c r="B12" s="211" t="s">
        <v>990</v>
      </c>
      <c r="C12" s="212" t="s">
        <v>88</v>
      </c>
      <c r="D12" s="213" t="s">
        <v>991</v>
      </c>
      <c r="E12" s="214" t="s">
        <v>992</v>
      </c>
      <c r="F12" s="214" t="s">
        <v>993</v>
      </c>
      <c r="G12" s="215" t="s">
        <v>2131</v>
      </c>
      <c r="H12" s="245">
        <v>164000</v>
      </c>
      <c r="I12" s="245">
        <v>105000</v>
      </c>
      <c r="J12" s="245">
        <v>105000</v>
      </c>
      <c r="K12" s="245">
        <v>146</v>
      </c>
      <c r="L12" s="245">
        <v>146</v>
      </c>
      <c r="M12" s="245">
        <v>146</v>
      </c>
      <c r="N12" s="227"/>
    </row>
    <row r="13" spans="1:16" s="446" customFormat="1" ht="63.75" customHeight="1">
      <c r="A13" s="222">
        <v>5</v>
      </c>
      <c r="B13" s="211" t="s">
        <v>994</v>
      </c>
      <c r="C13" s="212" t="s">
        <v>89</v>
      </c>
      <c r="D13" s="216" t="s">
        <v>995</v>
      </c>
      <c r="E13" s="212" t="s">
        <v>996</v>
      </c>
      <c r="F13" s="212" t="s">
        <v>997</v>
      </c>
      <c r="G13" s="217" t="s">
        <v>2130</v>
      </c>
      <c r="H13" s="245">
        <v>29000</v>
      </c>
      <c r="I13" s="245">
        <f>J13-K13</f>
        <v>28619</v>
      </c>
      <c r="J13" s="245">
        <v>28632</v>
      </c>
      <c r="K13" s="245">
        <v>13</v>
      </c>
      <c r="L13" s="245">
        <v>13</v>
      </c>
      <c r="M13" s="245">
        <v>13</v>
      </c>
      <c r="N13" s="227"/>
    </row>
    <row r="14" spans="1:16" s="446" customFormat="1" ht="56.25">
      <c r="A14" s="222">
        <v>7</v>
      </c>
      <c r="B14" s="219" t="s">
        <v>998</v>
      </c>
      <c r="C14" s="212" t="s">
        <v>89</v>
      </c>
      <c r="D14" s="220" t="s">
        <v>999</v>
      </c>
      <c r="E14" s="212" t="s">
        <v>1000</v>
      </c>
      <c r="F14" s="212" t="s">
        <v>1001</v>
      </c>
      <c r="G14" s="215" t="s">
        <v>2129</v>
      </c>
      <c r="H14" s="245">
        <v>11970</v>
      </c>
      <c r="I14" s="245">
        <f>J14-K14</f>
        <v>324</v>
      </c>
      <c r="J14" s="245">
        <v>329</v>
      </c>
      <c r="K14" s="245">
        <v>5</v>
      </c>
      <c r="L14" s="245">
        <v>5</v>
      </c>
      <c r="M14" s="245">
        <v>5</v>
      </c>
      <c r="N14" s="227"/>
    </row>
    <row r="15" spans="1:16" s="446" customFormat="1" ht="63" customHeight="1">
      <c r="A15" s="212">
        <v>8</v>
      </c>
      <c r="B15" s="211" t="s">
        <v>1002</v>
      </c>
      <c r="C15" s="212" t="s">
        <v>89</v>
      </c>
      <c r="D15" s="213" t="s">
        <v>1003</v>
      </c>
      <c r="E15" s="212" t="s">
        <v>1004</v>
      </c>
      <c r="F15" s="212" t="s">
        <v>997</v>
      </c>
      <c r="G15" s="212" t="s">
        <v>2128</v>
      </c>
      <c r="H15" s="245">
        <v>10400</v>
      </c>
      <c r="I15" s="245">
        <v>9900</v>
      </c>
      <c r="J15" s="245">
        <v>10131</v>
      </c>
      <c r="K15" s="246">
        <v>192</v>
      </c>
      <c r="L15" s="246">
        <v>192</v>
      </c>
      <c r="M15" s="246">
        <v>192</v>
      </c>
      <c r="N15" s="227"/>
    </row>
    <row r="16" spans="1:16" s="446" customFormat="1" ht="82.5" customHeight="1">
      <c r="A16" s="222">
        <v>9</v>
      </c>
      <c r="B16" s="211" t="s">
        <v>1005</v>
      </c>
      <c r="C16" s="212" t="s">
        <v>89</v>
      </c>
      <c r="D16" s="221" t="s">
        <v>1006</v>
      </c>
      <c r="E16" s="222" t="s">
        <v>1007</v>
      </c>
      <c r="F16" s="222" t="s">
        <v>1008</v>
      </c>
      <c r="G16" s="223" t="s">
        <v>2127</v>
      </c>
      <c r="H16" s="424">
        <v>16000</v>
      </c>
      <c r="I16" s="246">
        <v>12000</v>
      </c>
      <c r="J16" s="246">
        <v>12250</v>
      </c>
      <c r="K16" s="246">
        <f>3452-3202</f>
        <v>250</v>
      </c>
      <c r="L16" s="246">
        <f>3452-3202</f>
        <v>250</v>
      </c>
      <c r="M16" s="246">
        <f>3452-3202</f>
        <v>250</v>
      </c>
      <c r="N16" s="227"/>
    </row>
    <row r="17" spans="1:14" s="446" customFormat="1" ht="67.5" customHeight="1">
      <c r="A17" s="212">
        <v>10</v>
      </c>
      <c r="B17" s="211" t="s">
        <v>1009</v>
      </c>
      <c r="C17" s="212" t="s">
        <v>89</v>
      </c>
      <c r="D17" s="221"/>
      <c r="E17" s="222" t="s">
        <v>996</v>
      </c>
      <c r="F17" s="222" t="s">
        <v>1008</v>
      </c>
      <c r="G17" s="224" t="s">
        <v>2126</v>
      </c>
      <c r="H17" s="424">
        <v>14979</v>
      </c>
      <c r="I17" s="246"/>
      <c r="J17" s="246">
        <v>71</v>
      </c>
      <c r="K17" s="246">
        <v>71</v>
      </c>
      <c r="L17" s="246">
        <v>71</v>
      </c>
      <c r="M17" s="246">
        <v>71</v>
      </c>
      <c r="N17" s="227"/>
    </row>
    <row r="18" spans="1:14" s="446" customFormat="1" ht="67.5" customHeight="1">
      <c r="A18" s="222">
        <v>11</v>
      </c>
      <c r="B18" s="219" t="s">
        <v>1010</v>
      </c>
      <c r="C18" s="223" t="s">
        <v>89</v>
      </c>
      <c r="D18" s="225" t="s">
        <v>1011</v>
      </c>
      <c r="E18" s="222" t="s">
        <v>1012</v>
      </c>
      <c r="F18" s="202" t="s">
        <v>661</v>
      </c>
      <c r="G18" s="202" t="s">
        <v>2125</v>
      </c>
      <c r="H18" s="226">
        <v>6000</v>
      </c>
      <c r="I18" s="227">
        <v>5500</v>
      </c>
      <c r="J18" s="227">
        <v>5900</v>
      </c>
      <c r="K18" s="227">
        <v>400</v>
      </c>
      <c r="L18" s="227">
        <v>349</v>
      </c>
      <c r="M18" s="227">
        <v>349</v>
      </c>
      <c r="N18" s="227"/>
    </row>
    <row r="19" spans="1:14" s="446" customFormat="1" ht="67.5" customHeight="1">
      <c r="A19" s="212">
        <v>12</v>
      </c>
      <c r="B19" s="219" t="s">
        <v>1013</v>
      </c>
      <c r="C19" s="223" t="s">
        <v>89</v>
      </c>
      <c r="D19" s="221">
        <v>7677436</v>
      </c>
      <c r="E19" s="212" t="s">
        <v>996</v>
      </c>
      <c r="F19" s="202" t="s">
        <v>1014</v>
      </c>
      <c r="G19" s="202" t="s">
        <v>2124</v>
      </c>
      <c r="H19" s="226">
        <v>1499</v>
      </c>
      <c r="I19" s="227">
        <v>1440</v>
      </c>
      <c r="J19" s="227">
        <v>1487.2237</v>
      </c>
      <c r="K19" s="227">
        <v>34</v>
      </c>
      <c r="L19" s="227">
        <v>34</v>
      </c>
      <c r="M19" s="227">
        <v>34</v>
      </c>
      <c r="N19" s="227"/>
    </row>
    <row r="20" spans="1:14" s="446" customFormat="1" ht="63.75" customHeight="1">
      <c r="A20" s="222">
        <v>13</v>
      </c>
      <c r="B20" s="219" t="s">
        <v>1015</v>
      </c>
      <c r="C20" s="223" t="s">
        <v>89</v>
      </c>
      <c r="D20" s="221">
        <v>7677435</v>
      </c>
      <c r="E20" s="212" t="s">
        <v>996</v>
      </c>
      <c r="F20" s="202" t="s">
        <v>1016</v>
      </c>
      <c r="G20" s="202" t="s">
        <v>2123</v>
      </c>
      <c r="H20" s="226">
        <v>25000</v>
      </c>
      <c r="I20" s="227">
        <v>21844.666614000002</v>
      </c>
      <c r="J20" s="227">
        <v>21903.343636000001</v>
      </c>
      <c r="K20" s="227">
        <v>84</v>
      </c>
      <c r="L20" s="227">
        <v>84</v>
      </c>
      <c r="M20" s="227">
        <v>84</v>
      </c>
      <c r="N20" s="227"/>
    </row>
    <row r="21" spans="1:14" s="446" customFormat="1" ht="65.25" customHeight="1">
      <c r="A21" s="212">
        <v>14</v>
      </c>
      <c r="B21" s="219" t="s">
        <v>1017</v>
      </c>
      <c r="C21" s="223" t="s">
        <v>89</v>
      </c>
      <c r="D21" s="221">
        <v>7592369</v>
      </c>
      <c r="E21" s="223" t="s">
        <v>961</v>
      </c>
      <c r="F21" s="202" t="s">
        <v>1018</v>
      </c>
      <c r="G21" s="228" t="s">
        <v>2122</v>
      </c>
      <c r="H21" s="226">
        <v>85911</v>
      </c>
      <c r="I21" s="247">
        <v>76563</v>
      </c>
      <c r="J21" s="411">
        <v>76744</v>
      </c>
      <c r="K21" s="227">
        <v>181</v>
      </c>
      <c r="L21" s="227">
        <v>181</v>
      </c>
      <c r="M21" s="227">
        <v>181</v>
      </c>
      <c r="N21" s="227"/>
    </row>
    <row r="22" spans="1:14" s="446" customFormat="1" ht="75">
      <c r="A22" s="222">
        <v>15</v>
      </c>
      <c r="B22" s="233" t="s">
        <v>1019</v>
      </c>
      <c r="C22" s="259" t="s">
        <v>89</v>
      </c>
      <c r="D22" s="260" t="s">
        <v>1020</v>
      </c>
      <c r="E22" s="261" t="s">
        <v>1021</v>
      </c>
      <c r="F22" s="261" t="s">
        <v>1018</v>
      </c>
      <c r="G22" s="262" t="s">
        <v>1022</v>
      </c>
      <c r="H22" s="425">
        <v>40764</v>
      </c>
      <c r="I22" s="263">
        <v>35438</v>
      </c>
      <c r="J22" s="263">
        <v>35453</v>
      </c>
      <c r="K22" s="263">
        <v>16</v>
      </c>
      <c r="L22" s="263">
        <v>16</v>
      </c>
      <c r="M22" s="264">
        <v>16</v>
      </c>
      <c r="N22" s="227"/>
    </row>
    <row r="23" spans="1:14" s="446" customFormat="1" ht="75">
      <c r="A23" s="212">
        <v>16</v>
      </c>
      <c r="B23" s="233" t="s">
        <v>1023</v>
      </c>
      <c r="C23" s="259" t="s">
        <v>89</v>
      </c>
      <c r="D23" s="260" t="s">
        <v>1024</v>
      </c>
      <c r="E23" s="261" t="s">
        <v>1021</v>
      </c>
      <c r="F23" s="259" t="s">
        <v>1025</v>
      </c>
      <c r="G23" s="265" t="s">
        <v>1026</v>
      </c>
      <c r="H23" s="263">
        <v>18885</v>
      </c>
      <c r="I23" s="263">
        <v>16618</v>
      </c>
      <c r="J23" s="263">
        <v>16684</v>
      </c>
      <c r="K23" s="263">
        <v>62</v>
      </c>
      <c r="L23" s="263">
        <v>62</v>
      </c>
      <c r="M23" s="264">
        <v>0</v>
      </c>
      <c r="N23" s="227"/>
    </row>
    <row r="24" spans="1:14" s="446" customFormat="1" ht="110.25" customHeight="1">
      <c r="A24" s="222">
        <v>17</v>
      </c>
      <c r="B24" s="233" t="s">
        <v>1027</v>
      </c>
      <c r="C24" s="259" t="s">
        <v>89</v>
      </c>
      <c r="D24" s="266" t="s">
        <v>1028</v>
      </c>
      <c r="E24" s="261" t="s">
        <v>790</v>
      </c>
      <c r="F24" s="267" t="s">
        <v>1016</v>
      </c>
      <c r="G24" s="262" t="s">
        <v>2121</v>
      </c>
      <c r="H24" s="263">
        <v>7499</v>
      </c>
      <c r="I24" s="263">
        <v>7284</v>
      </c>
      <c r="J24" s="263">
        <v>7403</v>
      </c>
      <c r="K24" s="263">
        <v>136</v>
      </c>
      <c r="L24" s="263">
        <v>136</v>
      </c>
      <c r="M24" s="264">
        <v>136</v>
      </c>
      <c r="N24" s="227"/>
    </row>
    <row r="25" spans="1:14" s="446" customFormat="1" ht="64.5" customHeight="1">
      <c r="A25" s="212">
        <v>18</v>
      </c>
      <c r="B25" s="201" t="s">
        <v>1029</v>
      </c>
      <c r="C25" s="259" t="s">
        <v>89</v>
      </c>
      <c r="D25" s="260" t="s">
        <v>1030</v>
      </c>
      <c r="E25" s="261" t="s">
        <v>860</v>
      </c>
      <c r="F25" s="268" t="s">
        <v>1031</v>
      </c>
      <c r="G25" s="268" t="s">
        <v>2120</v>
      </c>
      <c r="H25" s="269">
        <v>21500</v>
      </c>
      <c r="I25" s="263">
        <v>20085</v>
      </c>
      <c r="J25" s="269">
        <v>20162</v>
      </c>
      <c r="K25" s="263">
        <v>77</v>
      </c>
      <c r="L25" s="263">
        <v>77</v>
      </c>
      <c r="M25" s="264">
        <v>77</v>
      </c>
      <c r="N25" s="227"/>
    </row>
    <row r="26" spans="1:14" s="446" customFormat="1" ht="69.75" customHeight="1">
      <c r="A26" s="222">
        <v>19</v>
      </c>
      <c r="B26" s="201" t="s">
        <v>1032</v>
      </c>
      <c r="C26" s="259" t="s">
        <v>89</v>
      </c>
      <c r="D26" s="260" t="s">
        <v>1033</v>
      </c>
      <c r="E26" s="261" t="s">
        <v>860</v>
      </c>
      <c r="F26" s="270" t="s">
        <v>1025</v>
      </c>
      <c r="G26" s="268" t="s">
        <v>1034</v>
      </c>
      <c r="H26" s="269">
        <v>3237</v>
      </c>
      <c r="I26" s="263">
        <v>2832</v>
      </c>
      <c r="J26" s="269">
        <v>2891</v>
      </c>
      <c r="K26" s="263">
        <v>17</v>
      </c>
      <c r="L26" s="263">
        <v>17</v>
      </c>
      <c r="M26" s="264">
        <v>17</v>
      </c>
      <c r="N26" s="227"/>
    </row>
    <row r="27" spans="1:14" s="446" customFormat="1" ht="69.75" customHeight="1">
      <c r="A27" s="212">
        <v>20</v>
      </c>
      <c r="B27" s="201" t="s">
        <v>1035</v>
      </c>
      <c r="C27" s="259" t="s">
        <v>89</v>
      </c>
      <c r="D27" s="259">
        <v>7830326</v>
      </c>
      <c r="E27" s="261" t="s">
        <v>860</v>
      </c>
      <c r="F27" s="270" t="s">
        <v>1025</v>
      </c>
      <c r="G27" s="268" t="s">
        <v>1036</v>
      </c>
      <c r="H27" s="269">
        <v>6476</v>
      </c>
      <c r="I27" s="263">
        <v>5620</v>
      </c>
      <c r="J27" s="269">
        <v>5651</v>
      </c>
      <c r="K27" s="263">
        <v>31</v>
      </c>
      <c r="L27" s="263">
        <v>31</v>
      </c>
      <c r="M27" s="264">
        <v>31</v>
      </c>
      <c r="N27" s="227"/>
    </row>
    <row r="28" spans="1:14" s="446" customFormat="1" ht="69" customHeight="1">
      <c r="A28" s="222">
        <v>21</v>
      </c>
      <c r="B28" s="201" t="s">
        <v>1037</v>
      </c>
      <c r="C28" s="259" t="s">
        <v>89</v>
      </c>
      <c r="D28" s="260" t="s">
        <v>1038</v>
      </c>
      <c r="E28" s="261" t="s">
        <v>860</v>
      </c>
      <c r="F28" s="270" t="s">
        <v>1025</v>
      </c>
      <c r="G28" s="268" t="s">
        <v>1039</v>
      </c>
      <c r="H28" s="269">
        <v>10595</v>
      </c>
      <c r="I28" s="263">
        <v>8845</v>
      </c>
      <c r="J28" s="269">
        <v>8883</v>
      </c>
      <c r="K28" s="271">
        <v>39</v>
      </c>
      <c r="L28" s="271">
        <v>39</v>
      </c>
      <c r="M28" s="272">
        <v>39</v>
      </c>
      <c r="N28" s="227"/>
    </row>
    <row r="29" spans="1:14" s="446" customFormat="1" ht="68.25" customHeight="1">
      <c r="A29" s="212">
        <v>22</v>
      </c>
      <c r="B29" s="201" t="s">
        <v>1040</v>
      </c>
      <c r="C29" s="259" t="s">
        <v>89</v>
      </c>
      <c r="D29" s="259">
        <v>7400232</v>
      </c>
      <c r="E29" s="261" t="s">
        <v>860</v>
      </c>
      <c r="F29" s="259" t="s">
        <v>988</v>
      </c>
      <c r="G29" s="406" t="s">
        <v>1919</v>
      </c>
      <c r="H29" s="263">
        <v>29465</v>
      </c>
      <c r="I29" s="263">
        <v>20517</v>
      </c>
      <c r="J29" s="263">
        <v>20650</v>
      </c>
      <c r="K29" s="271">
        <v>35</v>
      </c>
      <c r="L29" s="271">
        <v>35</v>
      </c>
      <c r="M29" s="272">
        <v>35</v>
      </c>
      <c r="N29" s="227"/>
    </row>
    <row r="30" spans="1:14" s="446" customFormat="1" ht="69.75" customHeight="1">
      <c r="A30" s="222">
        <v>23</v>
      </c>
      <c r="B30" s="273" t="s">
        <v>1041</v>
      </c>
      <c r="C30" s="259" t="s">
        <v>89</v>
      </c>
      <c r="D30" s="260" t="s">
        <v>1042</v>
      </c>
      <c r="E30" s="261" t="s">
        <v>1012</v>
      </c>
      <c r="F30" s="261" t="s">
        <v>661</v>
      </c>
      <c r="G30" s="407" t="s">
        <v>1043</v>
      </c>
      <c r="H30" s="263">
        <v>14900</v>
      </c>
      <c r="I30" s="263">
        <v>14047</v>
      </c>
      <c r="J30" s="263">
        <v>14100</v>
      </c>
      <c r="K30" s="263">
        <v>54</v>
      </c>
      <c r="L30" s="263">
        <v>54</v>
      </c>
      <c r="M30" s="264">
        <v>0</v>
      </c>
      <c r="N30" s="227"/>
    </row>
    <row r="31" spans="1:14" s="446" customFormat="1" ht="67.5" customHeight="1">
      <c r="A31" s="212">
        <v>24</v>
      </c>
      <c r="B31" s="273" t="s">
        <v>1044</v>
      </c>
      <c r="C31" s="259" t="s">
        <v>89</v>
      </c>
      <c r="D31" s="260" t="s">
        <v>1045</v>
      </c>
      <c r="E31" s="261" t="s">
        <v>1012</v>
      </c>
      <c r="F31" s="259" t="s">
        <v>1046</v>
      </c>
      <c r="G31" s="408" t="s">
        <v>1921</v>
      </c>
      <c r="H31" s="263">
        <v>29000</v>
      </c>
      <c r="I31" s="263">
        <v>28099</v>
      </c>
      <c r="J31" s="263">
        <v>28026</v>
      </c>
      <c r="K31" s="263">
        <v>48</v>
      </c>
      <c r="L31" s="263">
        <v>48</v>
      </c>
      <c r="M31" s="264">
        <v>48</v>
      </c>
      <c r="N31" s="227"/>
    </row>
    <row r="32" spans="1:14" s="446" customFormat="1" ht="63" customHeight="1">
      <c r="A32" s="222">
        <v>25</v>
      </c>
      <c r="B32" s="240" t="s">
        <v>463</v>
      </c>
      <c r="C32" s="259" t="s">
        <v>89</v>
      </c>
      <c r="D32" s="260" t="s">
        <v>1047</v>
      </c>
      <c r="E32" s="261" t="s">
        <v>1004</v>
      </c>
      <c r="F32" s="259" t="s">
        <v>1048</v>
      </c>
      <c r="G32" s="408" t="s">
        <v>1940</v>
      </c>
      <c r="H32" s="263">
        <v>14350</v>
      </c>
      <c r="I32" s="263">
        <f>J32-4787+2401</f>
        <v>11107</v>
      </c>
      <c r="J32" s="263">
        <v>13493</v>
      </c>
      <c r="K32" s="263">
        <v>2386</v>
      </c>
      <c r="L32" s="263">
        <v>2386</v>
      </c>
      <c r="M32" s="264">
        <v>2167</v>
      </c>
      <c r="N32" s="227"/>
    </row>
    <row r="33" spans="1:15" s="446" customFormat="1" ht="72.75" customHeight="1">
      <c r="A33" s="212">
        <v>26</v>
      </c>
      <c r="B33" s="201" t="s">
        <v>1049</v>
      </c>
      <c r="C33" s="259" t="s">
        <v>89</v>
      </c>
      <c r="D33" s="259">
        <v>7817335</v>
      </c>
      <c r="E33" s="261" t="s">
        <v>1012</v>
      </c>
      <c r="F33" s="259" t="s">
        <v>1025</v>
      </c>
      <c r="G33" s="262" t="s">
        <v>1050</v>
      </c>
      <c r="H33" s="263">
        <v>11118</v>
      </c>
      <c r="I33" s="263">
        <v>9593</v>
      </c>
      <c r="J33" s="263">
        <v>9632</v>
      </c>
      <c r="K33" s="263">
        <v>40</v>
      </c>
      <c r="L33" s="263">
        <v>40</v>
      </c>
      <c r="M33" s="264">
        <v>40</v>
      </c>
      <c r="N33" s="227"/>
    </row>
    <row r="34" spans="1:15" s="446" customFormat="1" ht="69.75" customHeight="1">
      <c r="A34" s="222">
        <v>27</v>
      </c>
      <c r="B34" s="273" t="s">
        <v>1051</v>
      </c>
      <c r="C34" s="259" t="s">
        <v>89</v>
      </c>
      <c r="D34" s="260" t="s">
        <v>1052</v>
      </c>
      <c r="E34" s="261" t="s">
        <v>744</v>
      </c>
      <c r="F34" s="261" t="s">
        <v>1016</v>
      </c>
      <c r="G34" s="262" t="s">
        <v>1053</v>
      </c>
      <c r="H34" s="263">
        <v>21770</v>
      </c>
      <c r="I34" s="263">
        <v>18719</v>
      </c>
      <c r="J34" s="263">
        <v>19763</v>
      </c>
      <c r="K34" s="263">
        <v>1045</v>
      </c>
      <c r="L34" s="263">
        <v>1045</v>
      </c>
      <c r="M34" s="264">
        <v>0</v>
      </c>
      <c r="N34" s="227"/>
    </row>
    <row r="35" spans="1:15" s="446" customFormat="1" ht="67.5" customHeight="1">
      <c r="A35" s="212">
        <v>28</v>
      </c>
      <c r="B35" s="233" t="s">
        <v>1054</v>
      </c>
      <c r="C35" s="259" t="s">
        <v>89</v>
      </c>
      <c r="D35" s="260" t="s">
        <v>1055</v>
      </c>
      <c r="E35" s="261" t="s">
        <v>1056</v>
      </c>
      <c r="F35" s="274" t="s">
        <v>1025</v>
      </c>
      <c r="G35" s="262" t="s">
        <v>1057</v>
      </c>
      <c r="H35" s="263">
        <v>20000</v>
      </c>
      <c r="I35" s="263">
        <v>18649</v>
      </c>
      <c r="J35" s="263">
        <v>18718</v>
      </c>
      <c r="K35" s="263">
        <v>69</v>
      </c>
      <c r="L35" s="263">
        <v>69</v>
      </c>
      <c r="M35" s="264">
        <v>69</v>
      </c>
      <c r="N35" s="227"/>
    </row>
    <row r="36" spans="1:15" s="446" customFormat="1" ht="69" customHeight="1">
      <c r="A36" s="222">
        <v>29</v>
      </c>
      <c r="B36" s="233" t="s">
        <v>1058</v>
      </c>
      <c r="C36" s="259" t="s">
        <v>89</v>
      </c>
      <c r="D36" s="260" t="s">
        <v>1059</v>
      </c>
      <c r="E36" s="261" t="s">
        <v>1060</v>
      </c>
      <c r="F36" s="274" t="s">
        <v>1061</v>
      </c>
      <c r="G36" s="262" t="s">
        <v>1062</v>
      </c>
      <c r="H36" s="263">
        <v>4416</v>
      </c>
      <c r="I36" s="263">
        <v>1994</v>
      </c>
      <c r="J36" s="263">
        <v>2003</v>
      </c>
      <c r="K36" s="263">
        <v>9</v>
      </c>
      <c r="L36" s="263">
        <v>9</v>
      </c>
      <c r="M36" s="264">
        <v>0</v>
      </c>
      <c r="N36" s="227"/>
    </row>
    <row r="37" spans="1:15" s="446" customFormat="1" ht="57.75" customHeight="1">
      <c r="A37" s="212">
        <v>30</v>
      </c>
      <c r="B37" s="233" t="s">
        <v>1063</v>
      </c>
      <c r="C37" s="259" t="s">
        <v>89</v>
      </c>
      <c r="D37" s="260" t="s">
        <v>1064</v>
      </c>
      <c r="E37" s="261" t="s">
        <v>1060</v>
      </c>
      <c r="F37" s="259" t="s">
        <v>1065</v>
      </c>
      <c r="G37" s="262" t="s">
        <v>1066</v>
      </c>
      <c r="H37" s="263">
        <v>8515</v>
      </c>
      <c r="I37" s="263">
        <v>2991</v>
      </c>
      <c r="J37" s="263">
        <v>3008</v>
      </c>
      <c r="K37" s="263">
        <v>17</v>
      </c>
      <c r="L37" s="263">
        <v>17</v>
      </c>
      <c r="M37" s="264">
        <v>0</v>
      </c>
      <c r="N37" s="227"/>
    </row>
    <row r="38" spans="1:15" s="446" customFormat="1" ht="66" customHeight="1">
      <c r="A38" s="222">
        <v>31</v>
      </c>
      <c r="B38" s="208" t="s">
        <v>1067</v>
      </c>
      <c r="C38" s="259" t="s">
        <v>89</v>
      </c>
      <c r="D38" s="259">
        <v>7618751</v>
      </c>
      <c r="E38" s="259" t="s">
        <v>1068</v>
      </c>
      <c r="F38" s="259" t="s">
        <v>931</v>
      </c>
      <c r="G38" s="259" t="s">
        <v>1069</v>
      </c>
      <c r="H38" s="263">
        <v>52560</v>
      </c>
      <c r="I38" s="263">
        <v>45930</v>
      </c>
      <c r="J38" s="263">
        <v>45994</v>
      </c>
      <c r="K38" s="263">
        <v>64</v>
      </c>
      <c r="L38" s="263">
        <v>64</v>
      </c>
      <c r="M38" s="264">
        <v>0</v>
      </c>
      <c r="N38" s="227"/>
    </row>
    <row r="39" spans="1:15" s="447" customFormat="1" ht="52.5" customHeight="1">
      <c r="A39" s="416">
        <v>32</v>
      </c>
      <c r="B39" s="417" t="s">
        <v>1145</v>
      </c>
      <c r="C39" s="406"/>
      <c r="D39" s="406"/>
      <c r="E39" s="406"/>
      <c r="F39" s="406"/>
      <c r="G39" s="406"/>
      <c r="H39" s="418"/>
      <c r="I39" s="418"/>
      <c r="J39" s="418"/>
      <c r="K39" s="418"/>
      <c r="L39" s="419">
        <v>3760</v>
      </c>
      <c r="M39" s="419">
        <f>2260+1500+1470</f>
        <v>5230</v>
      </c>
      <c r="N39" s="419"/>
    </row>
    <row r="40" spans="1:15" s="451" customFormat="1" ht="51.75" customHeight="1">
      <c r="A40" s="423" t="s">
        <v>109</v>
      </c>
      <c r="B40" s="432" t="s">
        <v>1070</v>
      </c>
      <c r="C40" s="402"/>
      <c r="D40" s="402"/>
      <c r="E40" s="402"/>
      <c r="F40" s="402"/>
      <c r="G40" s="402"/>
      <c r="H40" s="448">
        <f>SUM(H41:H104)</f>
        <v>1333398.0834729997</v>
      </c>
      <c r="I40" s="448">
        <f>SUM(I41:I104)</f>
        <v>879265.00384100003</v>
      </c>
      <c r="J40" s="448">
        <f>SUM(J41:J104)</f>
        <v>884414.00160299998</v>
      </c>
      <c r="K40" s="448">
        <f>SUM(K41:K104)</f>
        <v>11573.825761999999</v>
      </c>
      <c r="L40" s="448">
        <f>SUM(L41:L105)</f>
        <v>12898</v>
      </c>
      <c r="M40" s="448">
        <f>SUM(M41:M105)</f>
        <v>12728</v>
      </c>
      <c r="N40" s="449"/>
      <c r="O40" s="450"/>
    </row>
    <row r="41" spans="1:15" s="454" customFormat="1" ht="70.5" customHeight="1">
      <c r="A41" s="210">
        <v>1</v>
      </c>
      <c r="B41" s="208" t="s">
        <v>1071</v>
      </c>
      <c r="C41" s="275"/>
      <c r="D41" s="403">
        <v>7616222</v>
      </c>
      <c r="E41" s="209" t="s">
        <v>1072</v>
      </c>
      <c r="F41" s="409" t="s">
        <v>1923</v>
      </c>
      <c r="G41" s="408" t="s">
        <v>1922</v>
      </c>
      <c r="H41" s="410">
        <v>5975</v>
      </c>
      <c r="I41" s="410">
        <v>5721</v>
      </c>
      <c r="J41" s="410">
        <v>5975</v>
      </c>
      <c r="K41" s="452">
        <v>254</v>
      </c>
      <c r="L41" s="453">
        <v>254</v>
      </c>
      <c r="M41" s="453">
        <v>254</v>
      </c>
      <c r="N41" s="276"/>
    </row>
    <row r="42" spans="1:15" s="454" customFormat="1" ht="69" customHeight="1">
      <c r="A42" s="210">
        <v>2</v>
      </c>
      <c r="B42" s="208" t="s">
        <v>1073</v>
      </c>
      <c r="C42" s="275"/>
      <c r="D42" s="209">
        <v>7624889</v>
      </c>
      <c r="E42" s="209" t="s">
        <v>960</v>
      </c>
      <c r="F42" s="415" t="s">
        <v>1001</v>
      </c>
      <c r="G42" s="415" t="s">
        <v>1926</v>
      </c>
      <c r="H42" s="235">
        <v>16378</v>
      </c>
      <c r="I42" s="235">
        <v>16040</v>
      </c>
      <c r="J42" s="235">
        <v>16378</v>
      </c>
      <c r="K42" s="452">
        <v>337</v>
      </c>
      <c r="L42" s="453">
        <v>337</v>
      </c>
      <c r="M42" s="453">
        <v>337</v>
      </c>
      <c r="N42" s="276"/>
    </row>
    <row r="43" spans="1:15" s="454" customFormat="1" ht="69" customHeight="1">
      <c r="A43" s="210">
        <v>3</v>
      </c>
      <c r="B43" s="208" t="s">
        <v>1074</v>
      </c>
      <c r="C43" s="229" t="s">
        <v>88</v>
      </c>
      <c r="D43" s="223">
        <v>7736018</v>
      </c>
      <c r="E43" s="223" t="s">
        <v>961</v>
      </c>
      <c r="F43" s="223" t="s">
        <v>1046</v>
      </c>
      <c r="G43" s="223" t="s">
        <v>1075</v>
      </c>
      <c r="H43" s="245">
        <v>63434</v>
      </c>
      <c r="I43" s="245">
        <v>56568</v>
      </c>
      <c r="J43" s="245">
        <f t="shared" ref="J43:J49" si="2">I43+K43</f>
        <v>57583</v>
      </c>
      <c r="K43" s="248">
        <v>1015</v>
      </c>
      <c r="L43" s="245">
        <v>1015</v>
      </c>
      <c r="M43" s="245">
        <v>1015</v>
      </c>
      <c r="N43" s="276"/>
    </row>
    <row r="44" spans="1:15" s="454" customFormat="1" ht="69" customHeight="1">
      <c r="A44" s="210">
        <v>4</v>
      </c>
      <c r="B44" s="211" t="s">
        <v>1076</v>
      </c>
      <c r="C44" s="229" t="s">
        <v>88</v>
      </c>
      <c r="D44" s="230" t="s">
        <v>1077</v>
      </c>
      <c r="E44" s="229" t="s">
        <v>1078</v>
      </c>
      <c r="F44" s="231" t="s">
        <v>1031</v>
      </c>
      <c r="G44" s="232" t="s">
        <v>1079</v>
      </c>
      <c r="H44" s="245">
        <v>54690</v>
      </c>
      <c r="I44" s="245">
        <v>48663.443228999997</v>
      </c>
      <c r="J44" s="245">
        <f t="shared" si="2"/>
        <v>48846.443228999997</v>
      </c>
      <c r="K44" s="245">
        <v>183</v>
      </c>
      <c r="L44" s="245">
        <v>183</v>
      </c>
      <c r="M44" s="245">
        <v>183</v>
      </c>
      <c r="N44" s="276"/>
    </row>
    <row r="45" spans="1:15" s="454" customFormat="1" ht="105" customHeight="1">
      <c r="A45" s="210">
        <v>5</v>
      </c>
      <c r="B45" s="233" t="s">
        <v>1080</v>
      </c>
      <c r="C45" s="229" t="s">
        <v>89</v>
      </c>
      <c r="D45" s="223">
        <v>7327543</v>
      </c>
      <c r="E45" s="223" t="s">
        <v>1081</v>
      </c>
      <c r="F45" s="231" t="s">
        <v>1014</v>
      </c>
      <c r="G45" s="232" t="s">
        <v>1082</v>
      </c>
      <c r="H45" s="245">
        <v>11335.255531000001</v>
      </c>
      <c r="I45" s="245">
        <v>9091.1460000000006</v>
      </c>
      <c r="J45" s="245">
        <f t="shared" si="2"/>
        <v>9092.1460000000006</v>
      </c>
      <c r="K45" s="248">
        <v>1</v>
      </c>
      <c r="L45" s="245">
        <v>1</v>
      </c>
      <c r="M45" s="245">
        <v>1</v>
      </c>
      <c r="N45" s="276"/>
    </row>
    <row r="46" spans="1:15" s="454" customFormat="1" ht="127.5" customHeight="1">
      <c r="A46" s="210">
        <v>6</v>
      </c>
      <c r="B46" s="218" t="s">
        <v>1083</v>
      </c>
      <c r="C46" s="229" t="s">
        <v>89</v>
      </c>
      <c r="D46" s="223">
        <v>7306141</v>
      </c>
      <c r="E46" s="223" t="s">
        <v>1081</v>
      </c>
      <c r="F46" s="223" t="s">
        <v>1084</v>
      </c>
      <c r="G46" s="232" t="s">
        <v>1085</v>
      </c>
      <c r="H46" s="245">
        <v>33933.815000000002</v>
      </c>
      <c r="I46" s="245">
        <v>29310.502</v>
      </c>
      <c r="J46" s="245">
        <f t="shared" si="2"/>
        <v>29392.502</v>
      </c>
      <c r="K46" s="245">
        <v>82</v>
      </c>
      <c r="L46" s="245">
        <v>82</v>
      </c>
      <c r="M46" s="245">
        <v>82</v>
      </c>
      <c r="N46" s="276"/>
    </row>
    <row r="47" spans="1:15" s="454" customFormat="1" ht="71.25" customHeight="1">
      <c r="A47" s="210">
        <v>7</v>
      </c>
      <c r="B47" s="219" t="s">
        <v>1086</v>
      </c>
      <c r="C47" s="229"/>
      <c r="D47" s="229">
        <v>7532313</v>
      </c>
      <c r="E47" s="223" t="s">
        <v>1081</v>
      </c>
      <c r="F47" s="231" t="s">
        <v>929</v>
      </c>
      <c r="G47" s="232" t="s">
        <v>1087</v>
      </c>
      <c r="H47" s="245">
        <v>66403.755695999993</v>
      </c>
      <c r="I47" s="245">
        <v>52058.008699999998</v>
      </c>
      <c r="J47" s="245">
        <f t="shared" si="2"/>
        <v>52065.008699999998</v>
      </c>
      <c r="K47" s="245">
        <v>7</v>
      </c>
      <c r="L47" s="245">
        <v>7</v>
      </c>
      <c r="M47" s="245">
        <v>7</v>
      </c>
      <c r="N47" s="276"/>
    </row>
    <row r="48" spans="1:15" s="454" customFormat="1" ht="69" customHeight="1">
      <c r="A48" s="210">
        <v>8</v>
      </c>
      <c r="B48" s="201" t="s">
        <v>1088</v>
      </c>
      <c r="C48" s="229" t="s">
        <v>89</v>
      </c>
      <c r="D48" s="232" t="s">
        <v>1089</v>
      </c>
      <c r="E48" s="223" t="s">
        <v>716</v>
      </c>
      <c r="F48" s="223" t="s">
        <v>1001</v>
      </c>
      <c r="G48" s="232" t="s">
        <v>438</v>
      </c>
      <c r="H48" s="250">
        <v>18708.497959</v>
      </c>
      <c r="I48" s="249">
        <v>17028.768199999999</v>
      </c>
      <c r="J48" s="245">
        <f t="shared" si="2"/>
        <v>17092.768199999999</v>
      </c>
      <c r="K48" s="234">
        <v>64</v>
      </c>
      <c r="L48" s="227">
        <v>64</v>
      </c>
      <c r="M48" s="227">
        <v>64</v>
      </c>
      <c r="N48" s="276"/>
    </row>
    <row r="49" spans="1:14" s="454" customFormat="1" ht="54" customHeight="1">
      <c r="A49" s="210">
        <v>9</v>
      </c>
      <c r="B49" s="208" t="s">
        <v>1090</v>
      </c>
      <c r="C49" s="229" t="s">
        <v>89</v>
      </c>
      <c r="D49" s="232">
        <v>7813425</v>
      </c>
      <c r="E49" s="223" t="s">
        <v>716</v>
      </c>
      <c r="F49" s="223" t="s">
        <v>661</v>
      </c>
      <c r="G49" s="429" t="s">
        <v>444</v>
      </c>
      <c r="H49" s="250">
        <v>8750</v>
      </c>
      <c r="I49" s="250">
        <v>8740.9999680000001</v>
      </c>
      <c r="J49" s="245">
        <f t="shared" si="2"/>
        <v>8778.9999680000001</v>
      </c>
      <c r="K49" s="234">
        <v>38</v>
      </c>
      <c r="L49" s="227">
        <v>38</v>
      </c>
      <c r="M49" s="227">
        <v>38</v>
      </c>
      <c r="N49" s="276"/>
    </row>
    <row r="50" spans="1:14" s="454" customFormat="1" ht="71.25" customHeight="1">
      <c r="A50" s="210">
        <v>10</v>
      </c>
      <c r="B50" s="201" t="s">
        <v>471</v>
      </c>
      <c r="C50" s="229" t="s">
        <v>89</v>
      </c>
      <c r="D50" s="202" t="s">
        <v>1091</v>
      </c>
      <c r="E50" s="200" t="s">
        <v>1092</v>
      </c>
      <c r="F50" s="231" t="s">
        <v>1046</v>
      </c>
      <c r="G50" s="223" t="s">
        <v>1093</v>
      </c>
      <c r="H50" s="235">
        <v>24000</v>
      </c>
      <c r="I50" s="276"/>
      <c r="J50" s="276"/>
      <c r="K50" s="455">
        <v>82</v>
      </c>
      <c r="L50" s="456">
        <v>82</v>
      </c>
      <c r="M50" s="456">
        <v>82</v>
      </c>
      <c r="N50" s="276"/>
    </row>
    <row r="51" spans="1:14" s="258" customFormat="1" ht="67.5" customHeight="1">
      <c r="A51" s="210">
        <v>11</v>
      </c>
      <c r="B51" s="208" t="s">
        <v>1094</v>
      </c>
      <c r="C51" s="229" t="s">
        <v>88</v>
      </c>
      <c r="D51" s="236" t="s">
        <v>1095</v>
      </c>
      <c r="E51" s="200" t="s">
        <v>1092</v>
      </c>
      <c r="F51" s="231" t="s">
        <v>1046</v>
      </c>
      <c r="G51" s="223" t="s">
        <v>1096</v>
      </c>
      <c r="H51" s="235">
        <v>37000</v>
      </c>
      <c r="I51" s="251"/>
      <c r="J51" s="251"/>
      <c r="K51" s="455">
        <v>730</v>
      </c>
      <c r="L51" s="456">
        <v>720</v>
      </c>
      <c r="M51" s="456">
        <v>720</v>
      </c>
      <c r="N51" s="251"/>
    </row>
    <row r="52" spans="1:14" s="258" customFormat="1" ht="69" customHeight="1">
      <c r="A52" s="210">
        <v>12</v>
      </c>
      <c r="B52" s="208" t="s">
        <v>1097</v>
      </c>
      <c r="C52" s="229" t="s">
        <v>89</v>
      </c>
      <c r="D52" s="216" t="s">
        <v>1098</v>
      </c>
      <c r="E52" s="200" t="s">
        <v>860</v>
      </c>
      <c r="F52" s="223" t="s">
        <v>661</v>
      </c>
      <c r="G52" s="223" t="s">
        <v>1099</v>
      </c>
      <c r="H52" s="254">
        <v>6600</v>
      </c>
      <c r="I52" s="251"/>
      <c r="J52" s="251"/>
      <c r="K52" s="234">
        <v>1</v>
      </c>
      <c r="L52" s="227">
        <v>1</v>
      </c>
      <c r="M52" s="227">
        <v>1</v>
      </c>
      <c r="N52" s="251"/>
    </row>
    <row r="53" spans="1:14" s="258" customFormat="1" ht="54" customHeight="1">
      <c r="A53" s="210">
        <v>13</v>
      </c>
      <c r="B53" s="208" t="s">
        <v>1100</v>
      </c>
      <c r="C53" s="229" t="s">
        <v>89</v>
      </c>
      <c r="D53" s="200" t="s">
        <v>1033</v>
      </c>
      <c r="E53" s="200" t="s">
        <v>860</v>
      </c>
      <c r="F53" s="429" t="s">
        <v>661</v>
      </c>
      <c r="G53" s="429" t="s">
        <v>1101</v>
      </c>
      <c r="H53" s="426">
        <v>3300</v>
      </c>
      <c r="I53" s="251"/>
      <c r="J53" s="251"/>
      <c r="K53" s="234">
        <v>43</v>
      </c>
      <c r="L53" s="227">
        <v>43</v>
      </c>
      <c r="M53" s="227">
        <v>43</v>
      </c>
      <c r="N53" s="251"/>
    </row>
    <row r="54" spans="1:14" s="258" customFormat="1" ht="56.25" customHeight="1">
      <c r="A54" s="210">
        <v>14</v>
      </c>
      <c r="B54" s="208" t="s">
        <v>1102</v>
      </c>
      <c r="C54" s="229" t="s">
        <v>89</v>
      </c>
      <c r="D54" s="237" t="s">
        <v>873</v>
      </c>
      <c r="E54" s="200" t="s">
        <v>860</v>
      </c>
      <c r="F54" s="223" t="s">
        <v>661</v>
      </c>
      <c r="G54" s="232" t="s">
        <v>875</v>
      </c>
      <c r="H54" s="235">
        <v>9200</v>
      </c>
      <c r="I54" s="251"/>
      <c r="J54" s="251"/>
      <c r="K54" s="234">
        <v>1</v>
      </c>
      <c r="L54" s="227">
        <v>1</v>
      </c>
      <c r="M54" s="227">
        <v>1</v>
      </c>
      <c r="N54" s="251"/>
    </row>
    <row r="55" spans="1:14" s="258" customFormat="1" ht="66" customHeight="1">
      <c r="A55" s="210">
        <v>15</v>
      </c>
      <c r="B55" s="208" t="s">
        <v>1103</v>
      </c>
      <c r="C55" s="238" t="s">
        <v>89</v>
      </c>
      <c r="D55" s="216" t="s">
        <v>1104</v>
      </c>
      <c r="E55" s="200" t="s">
        <v>860</v>
      </c>
      <c r="F55" s="429" t="s">
        <v>661</v>
      </c>
      <c r="G55" s="429" t="s">
        <v>1105</v>
      </c>
      <c r="H55" s="426">
        <v>3135</v>
      </c>
      <c r="I55" s="251"/>
      <c r="J55" s="251"/>
      <c r="K55" s="234">
        <v>61</v>
      </c>
      <c r="L55" s="227">
        <v>61</v>
      </c>
      <c r="M55" s="227">
        <v>61</v>
      </c>
      <c r="N55" s="251"/>
    </row>
    <row r="56" spans="1:14" s="258" customFormat="1" ht="66" customHeight="1">
      <c r="A56" s="210">
        <v>16</v>
      </c>
      <c r="B56" s="208" t="s">
        <v>1106</v>
      </c>
      <c r="C56" s="238" t="s">
        <v>89</v>
      </c>
      <c r="D56" s="216" t="s">
        <v>1107</v>
      </c>
      <c r="E56" s="200" t="s">
        <v>860</v>
      </c>
      <c r="F56" s="429" t="s">
        <v>661</v>
      </c>
      <c r="G56" s="429" t="s">
        <v>1108</v>
      </c>
      <c r="H56" s="426">
        <v>1593</v>
      </c>
      <c r="I56" s="251"/>
      <c r="J56" s="251"/>
      <c r="K56" s="234">
        <v>31</v>
      </c>
      <c r="L56" s="227">
        <v>31</v>
      </c>
      <c r="M56" s="227">
        <v>31</v>
      </c>
      <c r="N56" s="251"/>
    </row>
    <row r="57" spans="1:14" s="258" customFormat="1" ht="112.5" customHeight="1">
      <c r="A57" s="210">
        <v>17</v>
      </c>
      <c r="B57" s="208" t="s">
        <v>1109</v>
      </c>
      <c r="C57" s="238" t="s">
        <v>89</v>
      </c>
      <c r="D57" s="216" t="s">
        <v>1110</v>
      </c>
      <c r="E57" s="200" t="s">
        <v>860</v>
      </c>
      <c r="F57" s="429" t="s">
        <v>661</v>
      </c>
      <c r="G57" s="429" t="s">
        <v>1111</v>
      </c>
      <c r="H57" s="426">
        <v>1955</v>
      </c>
      <c r="I57" s="251"/>
      <c r="J57" s="251"/>
      <c r="K57" s="234">
        <v>22</v>
      </c>
      <c r="L57" s="227">
        <v>22</v>
      </c>
      <c r="M57" s="227">
        <v>22</v>
      </c>
      <c r="N57" s="251"/>
    </row>
    <row r="58" spans="1:14" s="258" customFormat="1" ht="71.25" customHeight="1">
      <c r="A58" s="210">
        <v>18</v>
      </c>
      <c r="B58" s="208" t="s">
        <v>1112</v>
      </c>
      <c r="C58" s="238" t="s">
        <v>89</v>
      </c>
      <c r="D58" s="216" t="s">
        <v>1113</v>
      </c>
      <c r="E58" s="200" t="s">
        <v>860</v>
      </c>
      <c r="F58" s="429" t="s">
        <v>661</v>
      </c>
      <c r="G58" s="429" t="s">
        <v>1114</v>
      </c>
      <c r="H58" s="426">
        <v>2545</v>
      </c>
      <c r="I58" s="251"/>
      <c r="J58" s="251"/>
      <c r="K58" s="234">
        <v>50</v>
      </c>
      <c r="L58" s="227">
        <v>50</v>
      </c>
      <c r="M58" s="227">
        <v>50</v>
      </c>
      <c r="N58" s="251"/>
    </row>
    <row r="59" spans="1:14" s="258" customFormat="1" ht="111.75" customHeight="1">
      <c r="A59" s="210">
        <v>19</v>
      </c>
      <c r="B59" s="208" t="s">
        <v>1115</v>
      </c>
      <c r="C59" s="238" t="s">
        <v>89</v>
      </c>
      <c r="D59" s="216" t="s">
        <v>1116</v>
      </c>
      <c r="E59" s="200" t="s">
        <v>860</v>
      </c>
      <c r="F59" s="429" t="s">
        <v>661</v>
      </c>
      <c r="G59" s="429" t="s">
        <v>1117</v>
      </c>
      <c r="H59" s="426">
        <v>4533</v>
      </c>
      <c r="I59" s="251"/>
      <c r="J59" s="251"/>
      <c r="K59" s="234">
        <v>87</v>
      </c>
      <c r="L59" s="227">
        <v>87</v>
      </c>
      <c r="M59" s="227">
        <v>87</v>
      </c>
      <c r="N59" s="251"/>
    </row>
    <row r="60" spans="1:14" s="258" customFormat="1" ht="81" customHeight="1">
      <c r="A60" s="210">
        <v>20</v>
      </c>
      <c r="B60" s="208" t="s">
        <v>1118</v>
      </c>
      <c r="C60" s="238" t="s">
        <v>89</v>
      </c>
      <c r="D60" s="216" t="s">
        <v>1119</v>
      </c>
      <c r="E60" s="200" t="s">
        <v>860</v>
      </c>
      <c r="F60" s="429" t="s">
        <v>661</v>
      </c>
      <c r="G60" s="429" t="s">
        <v>1120</v>
      </c>
      <c r="H60" s="426">
        <v>2111</v>
      </c>
      <c r="I60" s="251"/>
      <c r="J60" s="251"/>
      <c r="K60" s="234">
        <v>41</v>
      </c>
      <c r="L60" s="227">
        <v>41</v>
      </c>
      <c r="M60" s="227">
        <v>41</v>
      </c>
      <c r="N60" s="251"/>
    </row>
    <row r="61" spans="1:14" s="258" customFormat="1" ht="118.5" customHeight="1">
      <c r="A61" s="210">
        <v>21</v>
      </c>
      <c r="B61" s="208" t="s">
        <v>1121</v>
      </c>
      <c r="C61" s="238" t="s">
        <v>89</v>
      </c>
      <c r="D61" s="216" t="s">
        <v>1122</v>
      </c>
      <c r="E61" s="200" t="s">
        <v>860</v>
      </c>
      <c r="F61" s="429" t="s">
        <v>661</v>
      </c>
      <c r="G61" s="429" t="s">
        <v>2133</v>
      </c>
      <c r="H61" s="426">
        <v>1700</v>
      </c>
      <c r="I61" s="251"/>
      <c r="J61" s="251"/>
      <c r="K61" s="234">
        <v>38</v>
      </c>
      <c r="L61" s="227">
        <v>38</v>
      </c>
      <c r="M61" s="227">
        <v>38</v>
      </c>
      <c r="N61" s="251"/>
    </row>
    <row r="62" spans="1:14" s="258" customFormat="1" ht="71.25" customHeight="1">
      <c r="A62" s="210">
        <v>22</v>
      </c>
      <c r="B62" s="208" t="s">
        <v>1123</v>
      </c>
      <c r="C62" s="238" t="s">
        <v>89</v>
      </c>
      <c r="D62" s="200" t="s">
        <v>1124</v>
      </c>
      <c r="E62" s="200" t="s">
        <v>860</v>
      </c>
      <c r="F62" s="429" t="s">
        <v>661</v>
      </c>
      <c r="G62" s="429" t="s">
        <v>2132</v>
      </c>
      <c r="H62" s="426">
        <v>4559</v>
      </c>
      <c r="I62" s="251"/>
      <c r="J62" s="251"/>
      <c r="K62" s="234">
        <v>94</v>
      </c>
      <c r="L62" s="227">
        <v>94</v>
      </c>
      <c r="M62" s="227">
        <v>94</v>
      </c>
      <c r="N62" s="251"/>
    </row>
    <row r="63" spans="1:14" s="258" customFormat="1" ht="70.5" customHeight="1">
      <c r="A63" s="210">
        <v>23</v>
      </c>
      <c r="B63" s="208" t="s">
        <v>1125</v>
      </c>
      <c r="C63" s="229" t="s">
        <v>88</v>
      </c>
      <c r="D63" s="229">
        <v>7579280</v>
      </c>
      <c r="E63" s="232" t="s">
        <v>962</v>
      </c>
      <c r="F63" s="223" t="s">
        <v>931</v>
      </c>
      <c r="G63" s="429" t="s">
        <v>2134</v>
      </c>
      <c r="H63" s="226">
        <v>113095.109</v>
      </c>
      <c r="I63" s="251"/>
      <c r="J63" s="251"/>
      <c r="K63" s="234">
        <v>224</v>
      </c>
      <c r="L63" s="227">
        <v>40</v>
      </c>
      <c r="M63" s="227">
        <v>40</v>
      </c>
      <c r="N63" s="251"/>
    </row>
    <row r="64" spans="1:14" s="258" customFormat="1" ht="65.25" customHeight="1">
      <c r="A64" s="210">
        <v>24</v>
      </c>
      <c r="B64" s="208" t="s">
        <v>1126</v>
      </c>
      <c r="C64" s="229" t="s">
        <v>89</v>
      </c>
      <c r="D64" s="232" t="s">
        <v>1127</v>
      </c>
      <c r="E64" s="232" t="s">
        <v>962</v>
      </c>
      <c r="F64" s="239" t="s">
        <v>1128</v>
      </c>
      <c r="G64" s="429" t="s">
        <v>422</v>
      </c>
      <c r="H64" s="226">
        <v>12938</v>
      </c>
      <c r="I64" s="251"/>
      <c r="J64" s="251"/>
      <c r="K64" s="234">
        <v>842</v>
      </c>
      <c r="L64" s="227">
        <v>842</v>
      </c>
      <c r="M64" s="227">
        <v>842</v>
      </c>
      <c r="N64" s="251"/>
    </row>
    <row r="65" spans="1:14" s="258" customFormat="1" ht="60" customHeight="1">
      <c r="A65" s="210">
        <v>25</v>
      </c>
      <c r="B65" s="208" t="s">
        <v>1129</v>
      </c>
      <c r="C65" s="229" t="s">
        <v>89</v>
      </c>
      <c r="D65" s="232">
        <v>7838240</v>
      </c>
      <c r="E65" s="232" t="s">
        <v>962</v>
      </c>
      <c r="F65" s="239" t="s">
        <v>661</v>
      </c>
      <c r="G65" s="429" t="s">
        <v>424</v>
      </c>
      <c r="H65" s="226">
        <v>12214</v>
      </c>
      <c r="I65" s="251"/>
      <c r="J65" s="251"/>
      <c r="K65" s="234">
        <v>853</v>
      </c>
      <c r="L65" s="227">
        <v>853</v>
      </c>
      <c r="M65" s="227">
        <v>853</v>
      </c>
      <c r="N65" s="251"/>
    </row>
    <row r="66" spans="1:14" s="258" customFormat="1" ht="67.5" customHeight="1">
      <c r="A66" s="210">
        <v>26</v>
      </c>
      <c r="B66" s="208" t="s">
        <v>1130</v>
      </c>
      <c r="C66" s="229" t="s">
        <v>89</v>
      </c>
      <c r="D66" s="230" t="s">
        <v>1131</v>
      </c>
      <c r="E66" s="232" t="s">
        <v>962</v>
      </c>
      <c r="F66" s="239" t="s">
        <v>637</v>
      </c>
      <c r="G66" s="223" t="s">
        <v>654</v>
      </c>
      <c r="H66" s="226">
        <v>3500</v>
      </c>
      <c r="I66" s="251"/>
      <c r="J66" s="251"/>
      <c r="K66" s="234">
        <v>709</v>
      </c>
      <c r="L66" s="227">
        <v>710</v>
      </c>
      <c r="M66" s="227">
        <v>710</v>
      </c>
      <c r="N66" s="251"/>
    </row>
    <row r="67" spans="1:14" s="258" customFormat="1" ht="58.5" customHeight="1">
      <c r="A67" s="210">
        <v>27</v>
      </c>
      <c r="B67" s="240" t="s">
        <v>461</v>
      </c>
      <c r="C67" s="229" t="s">
        <v>89</v>
      </c>
      <c r="D67" s="232" t="s">
        <v>1132</v>
      </c>
      <c r="E67" s="232" t="s">
        <v>1004</v>
      </c>
      <c r="F67" s="223" t="s">
        <v>1046</v>
      </c>
      <c r="G67" s="232" t="s">
        <v>462</v>
      </c>
      <c r="H67" s="226">
        <v>12398</v>
      </c>
      <c r="I67" s="251"/>
      <c r="J67" s="251"/>
      <c r="K67" s="252">
        <v>2484</v>
      </c>
      <c r="L67" s="242">
        <v>2484</v>
      </c>
      <c r="M67" s="242">
        <v>2484</v>
      </c>
      <c r="N67" s="251"/>
    </row>
    <row r="68" spans="1:14" s="258" customFormat="1" ht="69" customHeight="1">
      <c r="A68" s="210">
        <v>28</v>
      </c>
      <c r="B68" s="240" t="s">
        <v>985</v>
      </c>
      <c r="C68" s="229" t="s">
        <v>89</v>
      </c>
      <c r="D68" s="229">
        <v>7621643</v>
      </c>
      <c r="E68" s="232" t="s">
        <v>1004</v>
      </c>
      <c r="F68" s="231" t="s">
        <v>1031</v>
      </c>
      <c r="G68" s="232" t="s">
        <v>1133</v>
      </c>
      <c r="H68" s="226">
        <v>13192</v>
      </c>
      <c r="I68" s="251"/>
      <c r="J68" s="251"/>
      <c r="K68" s="252">
        <v>14</v>
      </c>
      <c r="L68" s="242">
        <v>14</v>
      </c>
      <c r="M68" s="242">
        <v>14</v>
      </c>
      <c r="N68" s="251"/>
    </row>
    <row r="69" spans="1:14" s="258" customFormat="1" ht="51" customHeight="1">
      <c r="A69" s="210">
        <v>29</v>
      </c>
      <c r="B69" s="208" t="s">
        <v>1134</v>
      </c>
      <c r="C69" s="229" t="s">
        <v>89</v>
      </c>
      <c r="D69" s="232">
        <v>7807324</v>
      </c>
      <c r="E69" s="223" t="s">
        <v>1135</v>
      </c>
      <c r="F69" s="223" t="s">
        <v>661</v>
      </c>
      <c r="G69" s="223" t="s">
        <v>448</v>
      </c>
      <c r="H69" s="245">
        <v>9916</v>
      </c>
      <c r="I69" s="251"/>
      <c r="J69" s="251"/>
      <c r="K69" s="248">
        <v>91</v>
      </c>
      <c r="L69" s="245">
        <v>91</v>
      </c>
      <c r="M69" s="245">
        <v>63</v>
      </c>
      <c r="N69" s="251"/>
    </row>
    <row r="70" spans="1:14" s="258" customFormat="1" ht="51" customHeight="1">
      <c r="A70" s="210">
        <v>30</v>
      </c>
      <c r="B70" s="208" t="s">
        <v>451</v>
      </c>
      <c r="C70" s="229" t="s">
        <v>89</v>
      </c>
      <c r="D70" s="232">
        <v>7797056</v>
      </c>
      <c r="E70" s="223" t="s">
        <v>1135</v>
      </c>
      <c r="F70" s="223" t="s">
        <v>661</v>
      </c>
      <c r="G70" s="223" t="s">
        <v>452</v>
      </c>
      <c r="H70" s="226">
        <v>9944</v>
      </c>
      <c r="I70" s="251"/>
      <c r="J70" s="251"/>
      <c r="K70" s="234">
        <v>115</v>
      </c>
      <c r="L70" s="227">
        <v>115</v>
      </c>
      <c r="M70" s="227">
        <v>115</v>
      </c>
      <c r="N70" s="251"/>
    </row>
    <row r="71" spans="1:14" s="258" customFormat="1" ht="66" customHeight="1">
      <c r="A71" s="210">
        <v>31</v>
      </c>
      <c r="B71" s="208" t="s">
        <v>1136</v>
      </c>
      <c r="C71" s="229" t="s">
        <v>89</v>
      </c>
      <c r="D71" s="225">
        <v>7890949</v>
      </c>
      <c r="E71" s="222" t="s">
        <v>1137</v>
      </c>
      <c r="F71" s="236" t="s">
        <v>1138</v>
      </c>
      <c r="G71" s="202" t="s">
        <v>1139</v>
      </c>
      <c r="H71" s="226">
        <v>998</v>
      </c>
      <c r="I71" s="251"/>
      <c r="J71" s="251"/>
      <c r="K71" s="234">
        <v>68</v>
      </c>
      <c r="L71" s="227">
        <v>68</v>
      </c>
      <c r="M71" s="227">
        <v>56</v>
      </c>
      <c r="N71" s="251"/>
    </row>
    <row r="72" spans="1:14" s="258" customFormat="1" ht="58.5" customHeight="1">
      <c r="A72" s="210">
        <v>32</v>
      </c>
      <c r="B72" s="208" t="s">
        <v>449</v>
      </c>
      <c r="C72" s="229" t="s">
        <v>89</v>
      </c>
      <c r="D72" s="232">
        <v>7807325</v>
      </c>
      <c r="E72" s="223" t="s">
        <v>1137</v>
      </c>
      <c r="F72" s="223" t="s">
        <v>661</v>
      </c>
      <c r="G72" s="223" t="s">
        <v>450</v>
      </c>
      <c r="H72" s="226">
        <v>10898</v>
      </c>
      <c r="I72" s="251"/>
      <c r="J72" s="251"/>
      <c r="K72" s="234">
        <v>73</v>
      </c>
      <c r="L72" s="227">
        <v>20</v>
      </c>
      <c r="M72" s="227">
        <v>20</v>
      </c>
      <c r="N72" s="251"/>
    </row>
    <row r="73" spans="1:14" s="258" customFormat="1" ht="58.5" customHeight="1">
      <c r="A73" s="210">
        <v>33</v>
      </c>
      <c r="B73" s="208" t="s">
        <v>433</v>
      </c>
      <c r="C73" s="229" t="s">
        <v>89</v>
      </c>
      <c r="D73" s="232">
        <v>7796135</v>
      </c>
      <c r="E73" s="232" t="s">
        <v>1140</v>
      </c>
      <c r="F73" s="231" t="s">
        <v>1046</v>
      </c>
      <c r="G73" s="232" t="s">
        <v>1141</v>
      </c>
      <c r="H73" s="235">
        <v>28410</v>
      </c>
      <c r="I73" s="251"/>
      <c r="J73" s="251"/>
      <c r="K73" s="234">
        <v>125</v>
      </c>
      <c r="L73" s="227">
        <v>71</v>
      </c>
      <c r="M73" s="227">
        <v>71</v>
      </c>
      <c r="N73" s="251"/>
    </row>
    <row r="74" spans="1:14" s="258" customFormat="1" ht="71.25" customHeight="1">
      <c r="A74" s="210">
        <v>34</v>
      </c>
      <c r="B74" s="208" t="s">
        <v>427</v>
      </c>
      <c r="C74" s="229" t="s">
        <v>89</v>
      </c>
      <c r="D74" s="232">
        <v>7795156</v>
      </c>
      <c r="E74" s="239" t="s">
        <v>1140</v>
      </c>
      <c r="F74" s="239" t="s">
        <v>1046</v>
      </c>
      <c r="G74" s="241" t="s">
        <v>428</v>
      </c>
      <c r="H74" s="235">
        <v>12119</v>
      </c>
      <c r="I74" s="251"/>
      <c r="J74" s="251"/>
      <c r="K74" s="234">
        <v>244</v>
      </c>
      <c r="L74" s="227">
        <v>242</v>
      </c>
      <c r="M74" s="227">
        <v>242</v>
      </c>
      <c r="N74" s="251"/>
    </row>
    <row r="75" spans="1:14" s="258" customFormat="1" ht="65.25" customHeight="1">
      <c r="A75" s="210">
        <v>35</v>
      </c>
      <c r="B75" s="208" t="s">
        <v>1142</v>
      </c>
      <c r="C75" s="229" t="s">
        <v>89</v>
      </c>
      <c r="D75" s="230" t="s">
        <v>1143</v>
      </c>
      <c r="E75" s="223" t="s">
        <v>744</v>
      </c>
      <c r="F75" s="239" t="s">
        <v>1046</v>
      </c>
      <c r="G75" s="239" t="s">
        <v>1144</v>
      </c>
      <c r="H75" s="235">
        <v>10957</v>
      </c>
      <c r="I75" s="251"/>
      <c r="J75" s="251"/>
      <c r="K75" s="234">
        <v>394</v>
      </c>
      <c r="L75" s="227">
        <v>304</v>
      </c>
      <c r="M75" s="227">
        <v>304</v>
      </c>
      <c r="N75" s="251"/>
    </row>
    <row r="76" spans="1:14" s="457" customFormat="1" ht="65.25" customHeight="1">
      <c r="A76" s="223">
        <v>36</v>
      </c>
      <c r="B76" s="404" t="s">
        <v>416</v>
      </c>
      <c r="C76" s="427" t="s">
        <v>89</v>
      </c>
      <c r="D76" s="428" t="s">
        <v>1917</v>
      </c>
      <c r="E76" s="223" t="s">
        <v>1916</v>
      </c>
      <c r="F76" s="239" t="s">
        <v>1920</v>
      </c>
      <c r="G76" s="239" t="s">
        <v>417</v>
      </c>
      <c r="H76" s="242">
        <v>22000</v>
      </c>
      <c r="I76" s="227">
        <v>21900</v>
      </c>
      <c r="J76" s="227">
        <v>22000</v>
      </c>
      <c r="K76" s="234"/>
      <c r="L76" s="227">
        <v>100</v>
      </c>
      <c r="M76" s="227">
        <v>100</v>
      </c>
      <c r="N76" s="227"/>
    </row>
    <row r="77" spans="1:14" s="457" customFormat="1" ht="65.25" customHeight="1">
      <c r="A77" s="223">
        <v>37</v>
      </c>
      <c r="B77" s="405" t="s">
        <v>930</v>
      </c>
      <c r="C77" s="427" t="s">
        <v>88</v>
      </c>
      <c r="D77" s="428" t="s">
        <v>1918</v>
      </c>
      <c r="E77" s="223" t="s">
        <v>1007</v>
      </c>
      <c r="F77" s="239" t="s">
        <v>1924</v>
      </c>
      <c r="G77" s="414" t="s">
        <v>1925</v>
      </c>
      <c r="H77" s="242">
        <f>149998+400</f>
        <v>150398</v>
      </c>
      <c r="I77" s="227">
        <v>149998</v>
      </c>
      <c r="J77" s="227">
        <v>149998</v>
      </c>
      <c r="K77" s="234"/>
      <c r="L77" s="227">
        <v>400</v>
      </c>
      <c r="M77" s="227">
        <v>400</v>
      </c>
      <c r="N77" s="227"/>
    </row>
    <row r="78" spans="1:14" s="258" customFormat="1" ht="55.5" customHeight="1">
      <c r="A78" s="210">
        <v>38</v>
      </c>
      <c r="B78" s="211" t="s">
        <v>433</v>
      </c>
      <c r="C78" s="212" t="s">
        <v>89</v>
      </c>
      <c r="D78" s="213" t="s">
        <v>1178</v>
      </c>
      <c r="E78" s="214" t="s">
        <v>716</v>
      </c>
      <c r="F78" s="214" t="s">
        <v>1025</v>
      </c>
      <c r="G78" s="214" t="s">
        <v>1179</v>
      </c>
      <c r="H78" s="245">
        <v>28410</v>
      </c>
      <c r="I78" s="245">
        <v>9399.800534</v>
      </c>
      <c r="J78" s="245">
        <v>9414.6905339999994</v>
      </c>
      <c r="K78" s="245">
        <f>J78-I78</f>
        <v>14.889999999999418</v>
      </c>
      <c r="L78" s="227">
        <v>15</v>
      </c>
      <c r="M78" s="227">
        <v>15</v>
      </c>
      <c r="N78" s="251"/>
    </row>
    <row r="79" spans="1:14" s="258" customFormat="1" ht="100.5" customHeight="1">
      <c r="A79" s="210">
        <v>39</v>
      </c>
      <c r="B79" s="211" t="s">
        <v>1180</v>
      </c>
      <c r="C79" s="212" t="s">
        <v>88</v>
      </c>
      <c r="D79" s="213" t="s">
        <v>1181</v>
      </c>
      <c r="E79" s="214" t="s">
        <v>1182</v>
      </c>
      <c r="F79" s="214" t="s">
        <v>1025</v>
      </c>
      <c r="G79" s="214" t="s">
        <v>1183</v>
      </c>
      <c r="H79" s="253">
        <v>62433.421999999999</v>
      </c>
      <c r="I79" s="245">
        <v>61741.607000000004</v>
      </c>
      <c r="J79" s="245">
        <v>61800.107000000004</v>
      </c>
      <c r="K79" s="245">
        <v>59</v>
      </c>
      <c r="L79" s="227">
        <v>59</v>
      </c>
      <c r="M79" s="227">
        <v>59</v>
      </c>
      <c r="N79" s="251"/>
    </row>
    <row r="80" spans="1:14" s="258" customFormat="1" ht="74.25" customHeight="1">
      <c r="A80" s="210">
        <v>40</v>
      </c>
      <c r="B80" s="211" t="s">
        <v>1184</v>
      </c>
      <c r="C80" s="212" t="s">
        <v>89</v>
      </c>
      <c r="D80" s="213">
        <v>7880254</v>
      </c>
      <c r="E80" s="214" t="s">
        <v>1185</v>
      </c>
      <c r="F80" s="214" t="s">
        <v>1186</v>
      </c>
      <c r="G80" s="214" t="s">
        <v>1187</v>
      </c>
      <c r="H80" s="253">
        <f>2545.747777</f>
        <v>2545.747777</v>
      </c>
      <c r="I80" s="245">
        <f>J80-K80</f>
        <v>2122.3772449999997</v>
      </c>
      <c r="J80" s="245">
        <f>2128.338007</f>
        <v>2128.3380069999998</v>
      </c>
      <c r="K80" s="245">
        <v>5.9607619999999999</v>
      </c>
      <c r="L80" s="227">
        <v>6</v>
      </c>
      <c r="M80" s="227">
        <v>6</v>
      </c>
      <c r="N80" s="251"/>
    </row>
    <row r="81" spans="1:14" s="258" customFormat="1" ht="68.25" customHeight="1">
      <c r="A81" s="210">
        <v>41</v>
      </c>
      <c r="B81" s="211" t="s">
        <v>1188</v>
      </c>
      <c r="C81" s="212" t="s">
        <v>89</v>
      </c>
      <c r="D81" s="213">
        <v>7880213</v>
      </c>
      <c r="E81" s="214" t="s">
        <v>1185</v>
      </c>
      <c r="F81" s="214" t="s">
        <v>1189</v>
      </c>
      <c r="G81" s="214" t="s">
        <v>1190</v>
      </c>
      <c r="H81" s="253">
        <v>677.48245699999995</v>
      </c>
      <c r="I81" s="245">
        <f>J81-K81</f>
        <v>631.66982099999996</v>
      </c>
      <c r="J81" s="245">
        <v>635.26982099999998</v>
      </c>
      <c r="K81" s="245">
        <v>3.6</v>
      </c>
      <c r="L81" s="227">
        <v>4</v>
      </c>
      <c r="M81" s="227">
        <v>4</v>
      </c>
      <c r="N81" s="251"/>
    </row>
    <row r="82" spans="1:14" s="258" customFormat="1" ht="74.25" customHeight="1">
      <c r="A82" s="210">
        <v>42</v>
      </c>
      <c r="B82" s="211" t="s">
        <v>1191</v>
      </c>
      <c r="C82" s="212" t="s">
        <v>89</v>
      </c>
      <c r="D82" s="213">
        <v>7819961</v>
      </c>
      <c r="E82" s="214" t="s">
        <v>1185</v>
      </c>
      <c r="F82" s="214" t="s">
        <v>1192</v>
      </c>
      <c r="G82" s="214" t="s">
        <v>1193</v>
      </c>
      <c r="H82" s="253">
        <v>690</v>
      </c>
      <c r="I82" s="245">
        <f>J82-K82</f>
        <v>512.21934199999998</v>
      </c>
      <c r="J82" s="245">
        <v>543.21934199999998</v>
      </c>
      <c r="K82" s="245">
        <v>31</v>
      </c>
      <c r="L82" s="227">
        <v>31</v>
      </c>
      <c r="M82" s="227">
        <v>31</v>
      </c>
      <c r="N82" s="251"/>
    </row>
    <row r="83" spans="1:14" s="258" customFormat="1" ht="75.75" customHeight="1">
      <c r="A83" s="210">
        <v>43</v>
      </c>
      <c r="B83" s="211" t="s">
        <v>1194</v>
      </c>
      <c r="C83" s="212" t="s">
        <v>89</v>
      </c>
      <c r="D83" s="213">
        <v>7880279</v>
      </c>
      <c r="E83" s="214" t="s">
        <v>1185</v>
      </c>
      <c r="F83" s="214" t="s">
        <v>1195</v>
      </c>
      <c r="G83" s="214" t="s">
        <v>1196</v>
      </c>
      <c r="H83" s="253">
        <v>1700.1065550000001</v>
      </c>
      <c r="I83" s="245">
        <f t="shared" ref="I83:I87" si="3">J83-K83</f>
        <v>1298.7308529999998</v>
      </c>
      <c r="J83" s="245">
        <v>1306.1308529999999</v>
      </c>
      <c r="K83" s="245">
        <v>7.4</v>
      </c>
      <c r="L83" s="227">
        <v>7</v>
      </c>
      <c r="M83" s="227">
        <v>7</v>
      </c>
      <c r="N83" s="251"/>
    </row>
    <row r="84" spans="1:14" s="258" customFormat="1" ht="70.5" customHeight="1">
      <c r="A84" s="210">
        <v>44</v>
      </c>
      <c r="B84" s="211" t="s">
        <v>1197</v>
      </c>
      <c r="C84" s="212"/>
      <c r="D84" s="213">
        <v>7880211</v>
      </c>
      <c r="E84" s="214" t="s">
        <v>1185</v>
      </c>
      <c r="F84" s="214" t="s">
        <v>661</v>
      </c>
      <c r="G84" s="214" t="s">
        <v>1198</v>
      </c>
      <c r="H84" s="253">
        <v>229</v>
      </c>
      <c r="I84" s="245">
        <f t="shared" si="3"/>
        <v>202.14264800000001</v>
      </c>
      <c r="J84" s="245">
        <v>204.14264800000001</v>
      </c>
      <c r="K84" s="245">
        <v>2</v>
      </c>
      <c r="L84" s="227">
        <v>2</v>
      </c>
      <c r="M84" s="227">
        <v>2</v>
      </c>
      <c r="N84" s="251"/>
    </row>
    <row r="85" spans="1:14" s="258" customFormat="1" ht="139.5" customHeight="1">
      <c r="A85" s="210">
        <v>45</v>
      </c>
      <c r="B85" s="211" t="s">
        <v>1914</v>
      </c>
      <c r="C85" s="212" t="s">
        <v>89</v>
      </c>
      <c r="D85" s="213">
        <v>7880817</v>
      </c>
      <c r="E85" s="214" t="s">
        <v>1185</v>
      </c>
      <c r="F85" s="214" t="s">
        <v>1199</v>
      </c>
      <c r="G85" s="214" t="s">
        <v>1200</v>
      </c>
      <c r="H85" s="253">
        <v>1080</v>
      </c>
      <c r="I85" s="245">
        <f t="shared" si="3"/>
        <v>858.32993799999997</v>
      </c>
      <c r="J85" s="245">
        <v>863.32993799999997</v>
      </c>
      <c r="K85" s="245">
        <v>5</v>
      </c>
      <c r="L85" s="227">
        <v>5</v>
      </c>
      <c r="M85" s="227">
        <v>5</v>
      </c>
      <c r="N85" s="251"/>
    </row>
    <row r="86" spans="1:14" s="258" customFormat="1" ht="70.5" customHeight="1">
      <c r="A86" s="210">
        <v>46</v>
      </c>
      <c r="B86" s="211" t="s">
        <v>1201</v>
      </c>
      <c r="C86" s="212" t="s">
        <v>89</v>
      </c>
      <c r="D86" s="213">
        <v>7880312</v>
      </c>
      <c r="E86" s="214" t="s">
        <v>1185</v>
      </c>
      <c r="F86" s="214" t="s">
        <v>1202</v>
      </c>
      <c r="G86" s="214" t="s">
        <v>1203</v>
      </c>
      <c r="H86" s="253">
        <v>715.78249800000003</v>
      </c>
      <c r="I86" s="245">
        <f t="shared" si="3"/>
        <v>527.91322200000002</v>
      </c>
      <c r="J86" s="245">
        <v>531.91322200000002</v>
      </c>
      <c r="K86" s="245">
        <v>4</v>
      </c>
      <c r="L86" s="227">
        <v>4</v>
      </c>
      <c r="M86" s="227">
        <v>4</v>
      </c>
      <c r="N86" s="251"/>
    </row>
    <row r="87" spans="1:14" s="258" customFormat="1" ht="128.25" customHeight="1">
      <c r="A87" s="210">
        <v>47</v>
      </c>
      <c r="B87" s="211" t="s">
        <v>1915</v>
      </c>
      <c r="C87" s="212" t="s">
        <v>89</v>
      </c>
      <c r="D87" s="213">
        <v>7880381</v>
      </c>
      <c r="E87" s="214" t="s">
        <v>1185</v>
      </c>
      <c r="F87" s="214" t="s">
        <v>1204</v>
      </c>
      <c r="G87" s="214" t="s">
        <v>1205</v>
      </c>
      <c r="H87" s="253">
        <v>1955</v>
      </c>
      <c r="I87" s="245">
        <f t="shared" si="3"/>
        <v>983.43981099999996</v>
      </c>
      <c r="J87" s="245">
        <v>989.43981099999996</v>
      </c>
      <c r="K87" s="245">
        <v>6</v>
      </c>
      <c r="L87" s="227">
        <v>6</v>
      </c>
      <c r="M87" s="227">
        <v>6</v>
      </c>
      <c r="N87" s="251"/>
    </row>
    <row r="88" spans="1:14" s="258" customFormat="1" ht="68.25" customHeight="1">
      <c r="A88" s="210">
        <v>48</v>
      </c>
      <c r="B88" s="243" t="s">
        <v>1206</v>
      </c>
      <c r="C88" s="212" t="s">
        <v>89</v>
      </c>
      <c r="D88" s="213" t="s">
        <v>1207</v>
      </c>
      <c r="E88" s="214" t="s">
        <v>781</v>
      </c>
      <c r="F88" s="244" t="s">
        <v>1208</v>
      </c>
      <c r="G88" s="215" t="s">
        <v>1209</v>
      </c>
      <c r="H88" s="253">
        <v>26985</v>
      </c>
      <c r="I88" s="253">
        <v>24174</v>
      </c>
      <c r="J88" s="245">
        <v>25878</v>
      </c>
      <c r="K88" s="245">
        <f>J88-I88</f>
        <v>1704</v>
      </c>
      <c r="L88" s="227">
        <v>1704</v>
      </c>
      <c r="M88" s="227">
        <v>1602</v>
      </c>
      <c r="N88" s="251"/>
    </row>
    <row r="89" spans="1:14" s="258" customFormat="1" ht="75" customHeight="1">
      <c r="A89" s="210">
        <v>49</v>
      </c>
      <c r="B89" s="243" t="s">
        <v>1210</v>
      </c>
      <c r="C89" s="212" t="s">
        <v>89</v>
      </c>
      <c r="D89" s="213" t="s">
        <v>1211</v>
      </c>
      <c r="E89" s="214" t="s">
        <v>781</v>
      </c>
      <c r="F89" s="244" t="s">
        <v>1212</v>
      </c>
      <c r="G89" s="215" t="s">
        <v>1213</v>
      </c>
      <c r="H89" s="245">
        <v>1678</v>
      </c>
      <c r="I89" s="253">
        <v>1476</v>
      </c>
      <c r="J89" s="253">
        <v>1475</v>
      </c>
      <c r="K89" s="245">
        <v>9</v>
      </c>
      <c r="L89" s="227">
        <v>9</v>
      </c>
      <c r="M89" s="227">
        <v>9</v>
      </c>
      <c r="N89" s="251"/>
    </row>
    <row r="90" spans="1:14" s="258" customFormat="1" ht="72.75" customHeight="1">
      <c r="A90" s="210">
        <v>50</v>
      </c>
      <c r="B90" s="243" t="s">
        <v>1214</v>
      </c>
      <c r="C90" s="212" t="s">
        <v>89</v>
      </c>
      <c r="D90" s="213">
        <v>7642973</v>
      </c>
      <c r="E90" s="214" t="s">
        <v>781</v>
      </c>
      <c r="F90" s="244" t="s">
        <v>1215</v>
      </c>
      <c r="G90" s="215" t="s">
        <v>2115</v>
      </c>
      <c r="H90" s="245">
        <v>6033</v>
      </c>
      <c r="I90" s="245">
        <v>5167</v>
      </c>
      <c r="J90" s="245">
        <v>5179</v>
      </c>
      <c r="K90" s="245">
        <v>30</v>
      </c>
      <c r="L90" s="227">
        <v>0</v>
      </c>
      <c r="M90" s="227">
        <v>30</v>
      </c>
      <c r="N90" s="251"/>
    </row>
    <row r="91" spans="1:14" s="258" customFormat="1" ht="73.5" customHeight="1">
      <c r="A91" s="210">
        <v>51</v>
      </c>
      <c r="B91" s="243" t="s">
        <v>1216</v>
      </c>
      <c r="C91" s="212" t="s">
        <v>89</v>
      </c>
      <c r="D91" s="216" t="s">
        <v>1217</v>
      </c>
      <c r="E91" s="214" t="s">
        <v>781</v>
      </c>
      <c r="F91" s="244" t="s">
        <v>1218</v>
      </c>
      <c r="G91" s="215" t="s">
        <v>2116</v>
      </c>
      <c r="H91" s="245">
        <v>9574</v>
      </c>
      <c r="I91" s="245">
        <v>8480</v>
      </c>
      <c r="J91" s="254">
        <v>8489</v>
      </c>
      <c r="K91" s="245">
        <v>38</v>
      </c>
      <c r="L91" s="227">
        <v>38</v>
      </c>
      <c r="M91" s="227">
        <v>38</v>
      </c>
      <c r="N91" s="251"/>
    </row>
    <row r="92" spans="1:14" s="258" customFormat="1" ht="91.5" customHeight="1">
      <c r="A92" s="210">
        <v>52</v>
      </c>
      <c r="B92" s="243" t="s">
        <v>1219</v>
      </c>
      <c r="C92" s="212" t="s">
        <v>89</v>
      </c>
      <c r="D92" s="216" t="s">
        <v>1220</v>
      </c>
      <c r="E92" s="214" t="s">
        <v>781</v>
      </c>
      <c r="F92" s="244" t="s">
        <v>1221</v>
      </c>
      <c r="G92" s="215" t="s">
        <v>2117</v>
      </c>
      <c r="H92" s="245">
        <v>5118</v>
      </c>
      <c r="I92" s="245">
        <v>3548</v>
      </c>
      <c r="J92" s="254">
        <v>3553</v>
      </c>
      <c r="K92" s="245">
        <v>21</v>
      </c>
      <c r="L92" s="227">
        <v>21</v>
      </c>
      <c r="M92" s="227">
        <v>21</v>
      </c>
      <c r="N92" s="251"/>
    </row>
    <row r="93" spans="1:14" s="258" customFormat="1" ht="72" customHeight="1">
      <c r="A93" s="210">
        <v>53</v>
      </c>
      <c r="B93" s="211" t="s">
        <v>1222</v>
      </c>
      <c r="C93" s="212" t="s">
        <v>89</v>
      </c>
      <c r="D93" s="213" t="s">
        <v>1223</v>
      </c>
      <c r="E93" s="214" t="s">
        <v>1224</v>
      </c>
      <c r="F93" s="212" t="s">
        <v>1225</v>
      </c>
      <c r="G93" s="215" t="s">
        <v>2118</v>
      </c>
      <c r="H93" s="245">
        <v>14164</v>
      </c>
      <c r="I93" s="245">
        <v>12765.5841</v>
      </c>
      <c r="J93" s="245">
        <v>12814.4511</v>
      </c>
      <c r="K93" s="245">
        <v>49</v>
      </c>
      <c r="L93" s="227">
        <v>49</v>
      </c>
      <c r="M93" s="227">
        <v>49</v>
      </c>
      <c r="N93" s="251"/>
    </row>
    <row r="94" spans="1:14" s="258" customFormat="1" ht="69" customHeight="1">
      <c r="A94" s="210">
        <v>54</v>
      </c>
      <c r="B94" s="211" t="s">
        <v>1226</v>
      </c>
      <c r="C94" s="212" t="s">
        <v>89</v>
      </c>
      <c r="D94" s="213" t="s">
        <v>1227</v>
      </c>
      <c r="E94" s="214" t="s">
        <v>1927</v>
      </c>
      <c r="F94" s="212" t="s">
        <v>661</v>
      </c>
      <c r="G94" s="223" t="s">
        <v>2119</v>
      </c>
      <c r="H94" s="245">
        <v>25000</v>
      </c>
      <c r="I94" s="255">
        <v>24416.321230000001</v>
      </c>
      <c r="J94" s="256">
        <v>24502.29623</v>
      </c>
      <c r="K94" s="255">
        <f>J94-I94</f>
        <v>85.974999999998545</v>
      </c>
      <c r="L94" s="227">
        <v>86</v>
      </c>
      <c r="M94" s="227">
        <v>86</v>
      </c>
      <c r="N94" s="251"/>
    </row>
    <row r="95" spans="1:14" s="258" customFormat="1" ht="69" customHeight="1">
      <c r="A95" s="210">
        <v>55</v>
      </c>
      <c r="B95" s="487" t="s">
        <v>2344</v>
      </c>
      <c r="C95" s="488" t="s">
        <v>89</v>
      </c>
      <c r="D95" s="216" t="s">
        <v>2345</v>
      </c>
      <c r="E95" s="408" t="s">
        <v>1007</v>
      </c>
      <c r="F95" s="488">
        <v>2021</v>
      </c>
      <c r="G95" s="407" t="s">
        <v>2346</v>
      </c>
      <c r="H95" s="489">
        <v>3903</v>
      </c>
      <c r="I95" s="490">
        <v>2610</v>
      </c>
      <c r="J95" s="490">
        <v>2790.8049999999998</v>
      </c>
      <c r="K95" s="491"/>
      <c r="L95" s="491"/>
      <c r="M95" s="491">
        <v>181</v>
      </c>
      <c r="N95" s="251"/>
    </row>
    <row r="96" spans="1:14" s="258" customFormat="1" ht="69" customHeight="1">
      <c r="A96" s="210">
        <v>56</v>
      </c>
      <c r="B96" s="492" t="s">
        <v>2347</v>
      </c>
      <c r="C96" s="488" t="s">
        <v>88</v>
      </c>
      <c r="D96" s="216" t="s">
        <v>2348</v>
      </c>
      <c r="E96" s="408" t="s">
        <v>1007</v>
      </c>
      <c r="F96" s="408" t="s">
        <v>661</v>
      </c>
      <c r="G96" s="408" t="s">
        <v>2349</v>
      </c>
      <c r="H96" s="493">
        <v>92275</v>
      </c>
      <c r="I96" s="490">
        <f>J96-385</f>
        <v>64615</v>
      </c>
      <c r="J96" s="490">
        <v>65000</v>
      </c>
      <c r="K96" s="493"/>
      <c r="L96" s="491"/>
      <c r="M96" s="491">
        <v>296</v>
      </c>
      <c r="N96" s="251"/>
    </row>
    <row r="97" spans="1:14" s="258" customFormat="1" ht="69" customHeight="1">
      <c r="A97" s="210">
        <v>57</v>
      </c>
      <c r="B97" s="208" t="s">
        <v>2350</v>
      </c>
      <c r="C97" s="412" t="s">
        <v>88</v>
      </c>
      <c r="D97" s="413" t="s">
        <v>2351</v>
      </c>
      <c r="E97" s="494" t="s">
        <v>962</v>
      </c>
      <c r="F97" s="408" t="s">
        <v>931</v>
      </c>
      <c r="G97" s="495" t="s">
        <v>476</v>
      </c>
      <c r="H97" s="496">
        <v>113095.109</v>
      </c>
      <c r="I97" s="497">
        <f>J97-L97</f>
        <v>113000</v>
      </c>
      <c r="J97" s="497">
        <v>113000</v>
      </c>
      <c r="K97" s="498"/>
      <c r="L97" s="498"/>
      <c r="M97" s="498">
        <v>223</v>
      </c>
      <c r="N97" s="251"/>
    </row>
    <row r="98" spans="1:14" s="258" customFormat="1" ht="69" customHeight="1">
      <c r="A98" s="210">
        <v>58</v>
      </c>
      <c r="B98" s="208" t="s">
        <v>2352</v>
      </c>
      <c r="C98" s="412" t="s">
        <v>89</v>
      </c>
      <c r="D98" s="413" t="s">
        <v>2353</v>
      </c>
      <c r="E98" s="494" t="s">
        <v>2354</v>
      </c>
      <c r="F98" s="499" t="s">
        <v>2355</v>
      </c>
      <c r="G98" s="261" t="s">
        <v>2356</v>
      </c>
      <c r="H98" s="496">
        <v>6300</v>
      </c>
      <c r="I98" s="497">
        <v>2077</v>
      </c>
      <c r="J98" s="497">
        <v>2094</v>
      </c>
      <c r="K98" s="498"/>
      <c r="L98" s="498"/>
      <c r="M98" s="498">
        <v>6</v>
      </c>
      <c r="N98" s="251"/>
    </row>
    <row r="99" spans="1:14" s="258" customFormat="1" ht="69" customHeight="1">
      <c r="A99" s="210">
        <v>59</v>
      </c>
      <c r="B99" s="500" t="s">
        <v>2357</v>
      </c>
      <c r="C99" s="412"/>
      <c r="D99" s="501">
        <v>7773514</v>
      </c>
      <c r="E99" s="502" t="s">
        <v>2365</v>
      </c>
      <c r="F99" s="503" t="s">
        <v>1318</v>
      </c>
      <c r="G99" s="503" t="s">
        <v>2366</v>
      </c>
      <c r="H99" s="504">
        <v>8918</v>
      </c>
      <c r="I99" s="497">
        <f>H99-M99</f>
        <v>8810</v>
      </c>
      <c r="J99" s="504">
        <v>8918</v>
      </c>
      <c r="K99" s="498"/>
      <c r="L99" s="511"/>
      <c r="M99" s="511">
        <v>108</v>
      </c>
      <c r="N99" s="251"/>
    </row>
    <row r="100" spans="1:14" s="258" customFormat="1" ht="69" customHeight="1">
      <c r="A100" s="210">
        <v>60</v>
      </c>
      <c r="B100" s="500" t="s">
        <v>2358</v>
      </c>
      <c r="C100" s="412"/>
      <c r="D100" s="266" t="s">
        <v>2363</v>
      </c>
      <c r="E100" s="505" t="s">
        <v>961</v>
      </c>
      <c r="F100" s="509" t="s">
        <v>1138</v>
      </c>
      <c r="G100" s="506" t="s">
        <v>2367</v>
      </c>
      <c r="H100" s="507">
        <v>73883</v>
      </c>
      <c r="I100" s="497">
        <f t="shared" ref="I100:I104" si="4">H100-M100</f>
        <v>73604</v>
      </c>
      <c r="J100" s="507">
        <v>73883</v>
      </c>
      <c r="K100" s="498"/>
      <c r="L100" s="511"/>
      <c r="M100" s="511">
        <v>279</v>
      </c>
      <c r="N100" s="251"/>
    </row>
    <row r="101" spans="1:14" s="258" customFormat="1" ht="69" customHeight="1">
      <c r="A101" s="210">
        <v>61</v>
      </c>
      <c r="B101" s="508" t="s">
        <v>2359</v>
      </c>
      <c r="C101" s="412"/>
      <c r="D101" s="506"/>
      <c r="E101" s="506" t="s">
        <v>960</v>
      </c>
      <c r="F101" s="506" t="s">
        <v>2368</v>
      </c>
      <c r="G101" s="506" t="s">
        <v>2369</v>
      </c>
      <c r="H101" s="507">
        <v>7718</v>
      </c>
      <c r="I101" s="497">
        <f t="shared" si="4"/>
        <v>7709</v>
      </c>
      <c r="J101" s="507">
        <v>7718</v>
      </c>
      <c r="K101" s="498"/>
      <c r="L101" s="511"/>
      <c r="M101" s="511">
        <v>9</v>
      </c>
      <c r="N101" s="251"/>
    </row>
    <row r="102" spans="1:14" s="258" customFormat="1" ht="69" customHeight="1">
      <c r="A102" s="210">
        <v>62</v>
      </c>
      <c r="B102" s="508" t="s">
        <v>2360</v>
      </c>
      <c r="C102" s="412"/>
      <c r="D102" s="506"/>
      <c r="E102" s="506" t="s">
        <v>960</v>
      </c>
      <c r="F102" s="506" t="s">
        <v>2370</v>
      </c>
      <c r="G102" s="506" t="s">
        <v>2371</v>
      </c>
      <c r="H102" s="507">
        <v>8542</v>
      </c>
      <c r="I102" s="497">
        <f t="shared" si="4"/>
        <v>8540</v>
      </c>
      <c r="J102" s="507">
        <v>8542</v>
      </c>
      <c r="K102" s="498"/>
      <c r="L102" s="511"/>
      <c r="M102" s="511">
        <v>2</v>
      </c>
      <c r="N102" s="251"/>
    </row>
    <row r="103" spans="1:14" s="258" customFormat="1" ht="69" customHeight="1">
      <c r="A103" s="210">
        <v>63</v>
      </c>
      <c r="B103" s="508" t="s">
        <v>2361</v>
      </c>
      <c r="C103" s="412"/>
      <c r="D103" s="509" t="s">
        <v>2364</v>
      </c>
      <c r="E103" s="270" t="s">
        <v>744</v>
      </c>
      <c r="F103" s="270" t="s">
        <v>673</v>
      </c>
      <c r="G103" s="270" t="s">
        <v>376</v>
      </c>
      <c r="H103" s="510">
        <v>5309</v>
      </c>
      <c r="I103" s="497">
        <f t="shared" si="4"/>
        <v>5241</v>
      </c>
      <c r="J103" s="510">
        <v>5309</v>
      </c>
      <c r="K103" s="498"/>
      <c r="L103" s="511"/>
      <c r="M103" s="511">
        <v>68</v>
      </c>
      <c r="N103" s="251"/>
    </row>
    <row r="104" spans="1:14" s="258" customFormat="1" ht="69" customHeight="1">
      <c r="A104" s="210">
        <v>64</v>
      </c>
      <c r="B104" s="508" t="s">
        <v>2362</v>
      </c>
      <c r="C104" s="412"/>
      <c r="D104" s="506"/>
      <c r="E104" s="270" t="s">
        <v>744</v>
      </c>
      <c r="F104" s="506" t="s">
        <v>2372</v>
      </c>
      <c r="G104" s="506" t="s">
        <v>2373</v>
      </c>
      <c r="H104" s="507">
        <v>19650</v>
      </c>
      <c r="I104" s="497">
        <f t="shared" si="4"/>
        <v>19634</v>
      </c>
      <c r="J104" s="507">
        <v>19650</v>
      </c>
      <c r="K104" s="498"/>
      <c r="L104" s="511"/>
      <c r="M104" s="511">
        <v>16</v>
      </c>
      <c r="N104" s="251"/>
    </row>
    <row r="105" spans="1:14" s="513" customFormat="1" ht="46.5" customHeight="1">
      <c r="A105" s="223">
        <v>65</v>
      </c>
      <c r="B105" s="219" t="s">
        <v>2374</v>
      </c>
      <c r="C105" s="219"/>
      <c r="D105" s="219"/>
      <c r="E105" s="219"/>
      <c r="F105" s="219"/>
      <c r="G105" s="219"/>
      <c r="H105" s="219"/>
      <c r="I105" s="219"/>
      <c r="J105" s="219"/>
      <c r="K105" s="219"/>
      <c r="L105" s="227">
        <v>1246</v>
      </c>
      <c r="M105" s="219">
        <v>0</v>
      </c>
      <c r="N105" s="219"/>
    </row>
  </sheetData>
  <mergeCells count="4">
    <mergeCell ref="A1:N1"/>
    <mergeCell ref="A2:N2"/>
    <mergeCell ref="A3:N3"/>
    <mergeCell ref="K4:N4"/>
  </mergeCells>
  <printOptions horizontalCentered="1"/>
  <pageMargins left="0" right="0" top="0.5" bottom="0.5" header="0.3" footer="0.3"/>
  <pageSetup paperSize="9" scale="65" orientation="landscape" r:id="rId1"/>
  <headerFooter differentFirst="1">
    <oddHeader>&amp;C&amp;P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Q113"/>
  <sheetViews>
    <sheetView zoomScale="50" zoomScaleNormal="50" zoomScaleSheetLayoutView="50" workbookViewId="0">
      <selection activeCell="K10" sqref="K10"/>
    </sheetView>
  </sheetViews>
  <sheetFormatPr defaultColWidth="9.140625" defaultRowHeight="21"/>
  <cols>
    <col min="1" max="1" width="9.140625" style="600"/>
    <col min="2" max="2" width="37.5703125" style="601" customWidth="1"/>
    <col min="3" max="3" width="12.28515625" style="600" customWidth="1"/>
    <col min="4" max="4" width="18.28515625" style="602" customWidth="1"/>
    <col min="5" max="5" width="21.7109375" style="600" customWidth="1"/>
    <col min="6" max="6" width="16" style="600" customWidth="1"/>
    <col min="7" max="7" width="23.42578125" style="600" customWidth="1"/>
    <col min="8" max="8" width="14.28515625" style="600" customWidth="1"/>
    <col min="9" max="9" width="19" style="600" customWidth="1"/>
    <col min="10" max="10" width="20.7109375" style="603" customWidth="1"/>
    <col min="11" max="11" width="25.85546875" style="603" customWidth="1"/>
    <col min="12" max="12" width="23" style="603" customWidth="1"/>
    <col min="13" max="13" width="24.42578125" style="603" customWidth="1"/>
    <col min="14" max="14" width="13.42578125" style="603" customWidth="1"/>
    <col min="15" max="15" width="14.5703125" style="603" customWidth="1"/>
    <col min="16" max="16" width="30.42578125" style="603" customWidth="1"/>
    <col min="17" max="17" width="22.85546875" style="600" customWidth="1"/>
    <col min="18" max="16384" width="9.140625" style="600"/>
  </cols>
  <sheetData>
    <row r="1" spans="1:17" s="515" customFormat="1" ht="36" customHeight="1">
      <c r="A1" s="1373" t="s">
        <v>2138</v>
      </c>
      <c r="B1" s="1373"/>
      <c r="C1" s="1373"/>
      <c r="D1" s="1373"/>
      <c r="E1" s="1373"/>
      <c r="F1" s="1373"/>
      <c r="G1" s="1373"/>
      <c r="H1" s="1373"/>
      <c r="I1" s="1373"/>
      <c r="J1" s="1373"/>
      <c r="K1" s="1373"/>
      <c r="L1" s="1373"/>
      <c r="M1" s="1373"/>
      <c r="N1" s="1373"/>
      <c r="O1" s="1373"/>
      <c r="P1" s="1373"/>
    </row>
    <row r="2" spans="1:17" s="516" customFormat="1" ht="83.25" customHeight="1">
      <c r="A2" s="1374" t="s">
        <v>2157</v>
      </c>
      <c r="B2" s="1374"/>
      <c r="C2" s="1374"/>
      <c r="D2" s="1374"/>
      <c r="E2" s="1374"/>
      <c r="F2" s="1374"/>
      <c r="G2" s="1374"/>
      <c r="H2" s="1374"/>
      <c r="I2" s="1374"/>
      <c r="J2" s="1374"/>
      <c r="K2" s="1374"/>
      <c r="L2" s="1374"/>
      <c r="M2" s="1374"/>
      <c r="N2" s="1374"/>
      <c r="O2" s="1374"/>
      <c r="P2" s="1374"/>
    </row>
    <row r="3" spans="1:17" s="517" customFormat="1" ht="43.5" customHeight="1">
      <c r="A3" s="1375" t="s">
        <v>2376</v>
      </c>
      <c r="B3" s="1376"/>
      <c r="C3" s="1376"/>
      <c r="D3" s="1376"/>
      <c r="E3" s="1376"/>
      <c r="F3" s="1376"/>
      <c r="G3" s="1376"/>
      <c r="H3" s="1376"/>
      <c r="I3" s="1376"/>
      <c r="J3" s="1376"/>
      <c r="K3" s="1376"/>
      <c r="L3" s="1376"/>
      <c r="M3" s="1376"/>
      <c r="N3" s="1376"/>
      <c r="O3" s="1376"/>
      <c r="P3" s="1376"/>
    </row>
    <row r="4" spans="1:17" s="515" customFormat="1" ht="31.5" customHeight="1">
      <c r="A4" s="1377" t="s">
        <v>625</v>
      </c>
      <c r="B4" s="1377"/>
      <c r="C4" s="1377"/>
      <c r="D4" s="1377"/>
      <c r="E4" s="1377"/>
      <c r="F4" s="1377"/>
      <c r="G4" s="1377"/>
      <c r="H4" s="1377"/>
      <c r="I4" s="1377"/>
      <c r="J4" s="1377"/>
      <c r="K4" s="1377"/>
      <c r="L4" s="1377"/>
      <c r="M4" s="1377"/>
      <c r="N4" s="1377"/>
      <c r="O4" s="1377"/>
      <c r="P4" s="1377"/>
    </row>
    <row r="5" spans="1:17" s="520" customFormat="1" ht="73.5" customHeight="1">
      <c r="A5" s="1363" t="s">
        <v>7</v>
      </c>
      <c r="B5" s="1363" t="s">
        <v>69</v>
      </c>
      <c r="C5" s="1363" t="s">
        <v>626</v>
      </c>
      <c r="D5" s="1363" t="s">
        <v>606</v>
      </c>
      <c r="E5" s="1363" t="s">
        <v>627</v>
      </c>
      <c r="F5" s="1363" t="s">
        <v>214</v>
      </c>
      <c r="G5" s="1363" t="s">
        <v>215</v>
      </c>
      <c r="H5" s="1363" t="s">
        <v>173</v>
      </c>
      <c r="I5" s="1363" t="s">
        <v>628</v>
      </c>
      <c r="J5" s="1363"/>
      <c r="K5" s="1365" t="s">
        <v>957</v>
      </c>
      <c r="L5" s="1365" t="s">
        <v>2270</v>
      </c>
      <c r="M5" s="1370" t="s">
        <v>1903</v>
      </c>
      <c r="N5" s="1371"/>
      <c r="O5" s="1372"/>
      <c r="P5" s="1365" t="s">
        <v>11</v>
      </c>
      <c r="Q5" s="519"/>
    </row>
    <row r="6" spans="1:17" s="520" customFormat="1" ht="39" customHeight="1">
      <c r="A6" s="1363"/>
      <c r="B6" s="1363"/>
      <c r="C6" s="1363"/>
      <c r="D6" s="1363"/>
      <c r="E6" s="1363"/>
      <c r="F6" s="1363"/>
      <c r="G6" s="1363"/>
      <c r="H6" s="1363"/>
      <c r="I6" s="1363" t="s">
        <v>629</v>
      </c>
      <c r="J6" s="1364" t="s">
        <v>630</v>
      </c>
      <c r="K6" s="1366"/>
      <c r="L6" s="1368"/>
      <c r="M6" s="1368" t="s">
        <v>17</v>
      </c>
      <c r="N6" s="1370" t="s">
        <v>82</v>
      </c>
      <c r="O6" s="1372"/>
      <c r="P6" s="1368"/>
    </row>
    <row r="7" spans="1:17" s="520" customFormat="1" ht="126.75" customHeight="1">
      <c r="A7" s="1363"/>
      <c r="B7" s="1363"/>
      <c r="C7" s="1363"/>
      <c r="D7" s="1363"/>
      <c r="E7" s="1363"/>
      <c r="F7" s="1363"/>
      <c r="G7" s="1363"/>
      <c r="H7" s="1363"/>
      <c r="I7" s="1363"/>
      <c r="J7" s="1364"/>
      <c r="K7" s="1367"/>
      <c r="L7" s="1369"/>
      <c r="M7" s="1369"/>
      <c r="N7" s="521" t="s">
        <v>958</v>
      </c>
      <c r="O7" s="522" t="s">
        <v>85</v>
      </c>
      <c r="P7" s="1369"/>
    </row>
    <row r="8" spans="1:17" s="525" customFormat="1" ht="31.5" customHeight="1">
      <c r="A8" s="523">
        <v>1</v>
      </c>
      <c r="B8" s="523">
        <v>2</v>
      </c>
      <c r="C8" s="523">
        <v>3</v>
      </c>
      <c r="D8" s="523">
        <v>4</v>
      </c>
      <c r="E8" s="523">
        <v>5</v>
      </c>
      <c r="F8" s="523">
        <v>6</v>
      </c>
      <c r="G8" s="523">
        <v>7</v>
      </c>
      <c r="H8" s="523">
        <v>8</v>
      </c>
      <c r="I8" s="523">
        <v>9</v>
      </c>
      <c r="J8" s="524">
        <v>10</v>
      </c>
      <c r="K8" s="523">
        <v>11</v>
      </c>
      <c r="L8" s="524">
        <v>12</v>
      </c>
      <c r="M8" s="523">
        <v>13</v>
      </c>
      <c r="N8" s="524">
        <v>14</v>
      </c>
      <c r="O8" s="523">
        <v>15</v>
      </c>
      <c r="P8" s="524">
        <v>16</v>
      </c>
    </row>
    <row r="9" spans="1:17" s="530" customFormat="1" ht="60.75" customHeight="1">
      <c r="A9" s="364"/>
      <c r="B9" s="526" t="s">
        <v>27</v>
      </c>
      <c r="C9" s="364"/>
      <c r="D9" s="364"/>
      <c r="E9" s="364"/>
      <c r="F9" s="364"/>
      <c r="G9" s="364"/>
      <c r="H9" s="364"/>
      <c r="I9" s="527"/>
      <c r="J9" s="527">
        <f t="shared" ref="J9:M9" si="0">J10+J19</f>
        <v>2275681</v>
      </c>
      <c r="K9" s="527">
        <f>K10+K19</f>
        <v>1883039</v>
      </c>
      <c r="L9" s="527">
        <f t="shared" si="0"/>
        <v>1752420</v>
      </c>
      <c r="M9" s="527">
        <f t="shared" si="0"/>
        <v>1752420</v>
      </c>
      <c r="N9" s="527"/>
      <c r="O9" s="527"/>
      <c r="P9" s="528"/>
      <c r="Q9" s="529"/>
    </row>
    <row r="10" spans="1:17" s="537" customFormat="1" ht="59.25" customHeight="1">
      <c r="A10" s="531" t="s">
        <v>86</v>
      </c>
      <c r="B10" s="532" t="s">
        <v>631</v>
      </c>
      <c r="C10" s="532"/>
      <c r="D10" s="532"/>
      <c r="E10" s="532"/>
      <c r="F10" s="531"/>
      <c r="G10" s="531"/>
      <c r="H10" s="531"/>
      <c r="I10" s="533"/>
      <c r="J10" s="534">
        <f>J11</f>
        <v>699400</v>
      </c>
      <c r="K10" s="534">
        <f t="shared" ref="K10" si="1">K11</f>
        <v>693375</v>
      </c>
      <c r="L10" s="534">
        <f t="shared" ref="L10:M10" si="2">L11</f>
        <v>614752</v>
      </c>
      <c r="M10" s="534">
        <f t="shared" si="2"/>
        <v>614752</v>
      </c>
      <c r="N10" s="534"/>
      <c r="O10" s="534"/>
      <c r="P10" s="535"/>
      <c r="Q10" s="536"/>
    </row>
    <row r="11" spans="1:17" s="520" customFormat="1" ht="57.75" customHeight="1">
      <c r="A11" s="531" t="s">
        <v>279</v>
      </c>
      <c r="B11" s="538" t="s">
        <v>632</v>
      </c>
      <c r="C11" s="539"/>
      <c r="D11" s="539"/>
      <c r="E11" s="539"/>
      <c r="F11" s="540"/>
      <c r="G11" s="540"/>
      <c r="H11" s="540"/>
      <c r="I11" s="541"/>
      <c r="J11" s="542">
        <f t="shared" ref="J11:M11" si="3">SUM(J12:J18)</f>
        <v>699400</v>
      </c>
      <c r="K11" s="542">
        <f t="shared" ref="K11" si="4">SUM(K12:K18)</f>
        <v>693375</v>
      </c>
      <c r="L11" s="542">
        <f t="shared" si="3"/>
        <v>614752</v>
      </c>
      <c r="M11" s="542">
        <f t="shared" si="3"/>
        <v>614752</v>
      </c>
      <c r="N11" s="542"/>
      <c r="O11" s="542"/>
      <c r="P11" s="533"/>
    </row>
    <row r="12" spans="1:17" s="313" customFormat="1" ht="99" customHeight="1">
      <c r="A12" s="316">
        <v>1</v>
      </c>
      <c r="B12" s="281" t="s">
        <v>633</v>
      </c>
      <c r="C12" s="316" t="s">
        <v>89</v>
      </c>
      <c r="D12" s="316"/>
      <c r="E12" s="316" t="s">
        <v>634</v>
      </c>
      <c r="F12" s="316" t="s">
        <v>635</v>
      </c>
      <c r="G12" s="298" t="s">
        <v>636</v>
      </c>
      <c r="H12" s="543" t="s">
        <v>637</v>
      </c>
      <c r="I12" s="381" t="s">
        <v>638</v>
      </c>
      <c r="J12" s="544">
        <v>42161</v>
      </c>
      <c r="K12" s="545">
        <v>39455</v>
      </c>
      <c r="L12" s="546">
        <f>23680+9000+9370-2595</f>
        <v>39455</v>
      </c>
      <c r="M12" s="545">
        <f>K12</f>
        <v>39455</v>
      </c>
      <c r="N12" s="544"/>
      <c r="O12" s="546"/>
      <c r="P12" s="547"/>
      <c r="Q12" s="548"/>
    </row>
    <row r="13" spans="1:17" s="313" customFormat="1" ht="111.75" customHeight="1">
      <c r="A13" s="316">
        <v>2</v>
      </c>
      <c r="B13" s="281" t="s">
        <v>940</v>
      </c>
      <c r="C13" s="316" t="s">
        <v>88</v>
      </c>
      <c r="D13" s="316"/>
      <c r="E13" s="316" t="s">
        <v>634</v>
      </c>
      <c r="F13" s="316" t="s">
        <v>635</v>
      </c>
      <c r="G13" s="298" t="s">
        <v>636</v>
      </c>
      <c r="H13" s="543" t="s">
        <v>637</v>
      </c>
      <c r="I13" s="381" t="s">
        <v>639</v>
      </c>
      <c r="J13" s="544">
        <f>73400</f>
        <v>73400</v>
      </c>
      <c r="K13" s="545">
        <v>70800</v>
      </c>
      <c r="L13" s="546">
        <f>30680+37191+5720-2791</f>
        <v>70800</v>
      </c>
      <c r="M13" s="545">
        <f>K13</f>
        <v>70800</v>
      </c>
      <c r="N13" s="544"/>
      <c r="O13" s="546"/>
      <c r="P13" s="547"/>
    </row>
    <row r="14" spans="1:17" s="313" customFormat="1" ht="135.75" customHeight="1">
      <c r="A14" s="316">
        <v>3</v>
      </c>
      <c r="B14" s="281" t="s">
        <v>640</v>
      </c>
      <c r="C14" s="316" t="s">
        <v>88</v>
      </c>
      <c r="D14" s="316"/>
      <c r="E14" s="316" t="s">
        <v>634</v>
      </c>
      <c r="F14" s="316" t="s">
        <v>635</v>
      </c>
      <c r="G14" s="298" t="s">
        <v>641</v>
      </c>
      <c r="H14" s="543" t="s">
        <v>637</v>
      </c>
      <c r="I14" s="381" t="s">
        <v>642</v>
      </c>
      <c r="J14" s="544">
        <v>90810</v>
      </c>
      <c r="K14" s="545">
        <v>90091</v>
      </c>
      <c r="L14" s="546">
        <f>51000+39091</f>
        <v>90091</v>
      </c>
      <c r="M14" s="545">
        <f>K14</f>
        <v>90091</v>
      </c>
      <c r="N14" s="544"/>
      <c r="O14" s="546"/>
      <c r="P14" s="547"/>
    </row>
    <row r="15" spans="1:17" s="313" customFormat="1" ht="82.5" customHeight="1">
      <c r="A15" s="316">
        <v>4</v>
      </c>
      <c r="B15" s="281" t="s">
        <v>643</v>
      </c>
      <c r="C15" s="316" t="s">
        <v>88</v>
      </c>
      <c r="D15" s="316"/>
      <c r="E15" s="316" t="s">
        <v>634</v>
      </c>
      <c r="F15" s="316" t="s">
        <v>635</v>
      </c>
      <c r="G15" s="298" t="s">
        <v>636</v>
      </c>
      <c r="H15" s="543" t="s">
        <v>644</v>
      </c>
      <c r="I15" s="381" t="s">
        <v>952</v>
      </c>
      <c r="J15" s="544">
        <v>60000</v>
      </c>
      <c r="K15" s="545">
        <v>60000</v>
      </c>
      <c r="L15" s="544">
        <f>M15</f>
        <v>56601</v>
      </c>
      <c r="M15" s="329">
        <v>56601</v>
      </c>
      <c r="N15" s="544"/>
      <c r="O15" s="544"/>
      <c r="P15" s="298" t="s">
        <v>2271</v>
      </c>
    </row>
    <row r="16" spans="1:17" s="313" customFormat="1" ht="82.5" customHeight="1">
      <c r="A16" s="316">
        <v>5</v>
      </c>
      <c r="B16" s="281" t="s">
        <v>645</v>
      </c>
      <c r="C16" s="316" t="s">
        <v>88</v>
      </c>
      <c r="D16" s="316"/>
      <c r="E16" s="316" t="s">
        <v>634</v>
      </c>
      <c r="F16" s="316" t="s">
        <v>635</v>
      </c>
      <c r="G16" s="298" t="s">
        <v>636</v>
      </c>
      <c r="H16" s="543" t="s">
        <v>644</v>
      </c>
      <c r="I16" s="381" t="s">
        <v>953</v>
      </c>
      <c r="J16" s="544">
        <v>90000</v>
      </c>
      <c r="K16" s="545">
        <v>90000</v>
      </c>
      <c r="L16" s="544">
        <f t="shared" ref="L16:L18" si="5">M16</f>
        <v>73097</v>
      </c>
      <c r="M16" s="329">
        <v>73097</v>
      </c>
      <c r="N16" s="544"/>
      <c r="O16" s="544"/>
      <c r="P16" s="298" t="s">
        <v>2271</v>
      </c>
    </row>
    <row r="17" spans="1:16" s="313" customFormat="1" ht="126" customHeight="1">
      <c r="A17" s="316">
        <v>6</v>
      </c>
      <c r="B17" s="281" t="s">
        <v>646</v>
      </c>
      <c r="C17" s="316" t="s">
        <v>88</v>
      </c>
      <c r="D17" s="316"/>
      <c r="E17" s="316" t="s">
        <v>634</v>
      </c>
      <c r="F17" s="316" t="s">
        <v>635</v>
      </c>
      <c r="G17" s="298" t="s">
        <v>636</v>
      </c>
      <c r="H17" s="543" t="s">
        <v>644</v>
      </c>
      <c r="I17" s="381" t="s">
        <v>954</v>
      </c>
      <c r="J17" s="544">
        <f>128029+15000</f>
        <v>143029</v>
      </c>
      <c r="K17" s="545">
        <v>143029</v>
      </c>
      <c r="L17" s="544">
        <f t="shared" si="5"/>
        <v>90388</v>
      </c>
      <c r="M17" s="329">
        <v>90388</v>
      </c>
      <c r="N17" s="544"/>
      <c r="O17" s="544"/>
      <c r="P17" s="298" t="s">
        <v>2271</v>
      </c>
    </row>
    <row r="18" spans="1:16" s="313" customFormat="1" ht="123.75" customHeight="1">
      <c r="A18" s="316">
        <v>7</v>
      </c>
      <c r="B18" s="281" t="s">
        <v>941</v>
      </c>
      <c r="C18" s="316" t="s">
        <v>88</v>
      </c>
      <c r="D18" s="316"/>
      <c r="E18" s="316" t="s">
        <v>634</v>
      </c>
      <c r="F18" s="316" t="s">
        <v>635</v>
      </c>
      <c r="G18" s="298" t="s">
        <v>647</v>
      </c>
      <c r="H18" s="543" t="s">
        <v>644</v>
      </c>
      <c r="I18" s="381" t="s">
        <v>955</v>
      </c>
      <c r="J18" s="544">
        <v>200000</v>
      </c>
      <c r="K18" s="545">
        <v>200000</v>
      </c>
      <c r="L18" s="544">
        <f t="shared" si="5"/>
        <v>194320</v>
      </c>
      <c r="M18" s="329">
        <v>194320</v>
      </c>
      <c r="N18" s="544"/>
      <c r="O18" s="544"/>
      <c r="P18" s="298" t="s">
        <v>2271</v>
      </c>
    </row>
    <row r="19" spans="1:16" s="537" customFormat="1" ht="57" customHeight="1">
      <c r="A19" s="531" t="s">
        <v>88</v>
      </c>
      <c r="B19" s="532" t="s">
        <v>648</v>
      </c>
      <c r="C19" s="532"/>
      <c r="D19" s="532"/>
      <c r="E19" s="532"/>
      <c r="F19" s="531"/>
      <c r="G19" s="531"/>
      <c r="H19" s="531"/>
      <c r="I19" s="533"/>
      <c r="J19" s="534">
        <f t="shared" ref="J19:M19" si="6">J20+J23+J33+J41+J52+J64+J78+J90+J103</f>
        <v>1576281</v>
      </c>
      <c r="K19" s="534">
        <f t="shared" ref="K19" si="7">K20+K23+K33+K41+K52+K64+K78+K90+K103</f>
        <v>1189664</v>
      </c>
      <c r="L19" s="534">
        <f t="shared" si="6"/>
        <v>1137668</v>
      </c>
      <c r="M19" s="534">
        <f t="shared" si="6"/>
        <v>1137668</v>
      </c>
      <c r="N19" s="534"/>
      <c r="O19" s="534"/>
      <c r="P19" s="535"/>
    </row>
    <row r="20" spans="1:16" s="313" customFormat="1" ht="35.25" customHeight="1">
      <c r="A20" s="549" t="s">
        <v>95</v>
      </c>
      <c r="B20" s="532" t="s">
        <v>649</v>
      </c>
      <c r="C20" s="540"/>
      <c r="D20" s="540"/>
      <c r="E20" s="540"/>
      <c r="F20" s="540"/>
      <c r="G20" s="336"/>
      <c r="H20" s="531"/>
      <c r="I20" s="531"/>
      <c r="J20" s="535">
        <f>J21</f>
        <v>3500</v>
      </c>
      <c r="K20" s="535">
        <f>K21</f>
        <v>2708</v>
      </c>
      <c r="L20" s="535">
        <f t="shared" ref="L20:M20" si="8">L21</f>
        <v>2708</v>
      </c>
      <c r="M20" s="535">
        <f t="shared" si="8"/>
        <v>2708</v>
      </c>
      <c r="N20" s="535"/>
      <c r="O20" s="535"/>
      <c r="P20" s="547"/>
    </row>
    <row r="21" spans="1:16" s="537" customFormat="1" ht="32.25" customHeight="1">
      <c r="A21" s="531" t="s">
        <v>279</v>
      </c>
      <c r="B21" s="538" t="s">
        <v>577</v>
      </c>
      <c r="C21" s="532"/>
      <c r="D21" s="316"/>
      <c r="E21" s="531"/>
      <c r="F21" s="531"/>
      <c r="G21" s="531"/>
      <c r="H21" s="531"/>
      <c r="I21" s="550"/>
      <c r="J21" s="542">
        <f t="shared" ref="J21:M21" si="9">SUM(J22)</f>
        <v>3500</v>
      </c>
      <c r="K21" s="542">
        <f>SUM(K22)</f>
        <v>2708</v>
      </c>
      <c r="L21" s="542">
        <f t="shared" si="9"/>
        <v>2708</v>
      </c>
      <c r="M21" s="542">
        <f t="shared" si="9"/>
        <v>2708</v>
      </c>
      <c r="N21" s="542"/>
      <c r="O21" s="542"/>
      <c r="P21" s="535"/>
    </row>
    <row r="22" spans="1:16" s="352" customFormat="1" ht="93" customHeight="1">
      <c r="A22" s="551">
        <v>1</v>
      </c>
      <c r="B22" s="552" t="s">
        <v>650</v>
      </c>
      <c r="C22" s="553" t="s">
        <v>89</v>
      </c>
      <c r="D22" s="553"/>
      <c r="E22" s="553" t="s">
        <v>651</v>
      </c>
      <c r="F22" s="553" t="s">
        <v>652</v>
      </c>
      <c r="G22" s="554" t="s">
        <v>653</v>
      </c>
      <c r="H22" s="555" t="s">
        <v>637</v>
      </c>
      <c r="I22" s="297" t="s">
        <v>654</v>
      </c>
      <c r="J22" s="556">
        <v>3500</v>
      </c>
      <c r="K22" s="556">
        <v>2708</v>
      </c>
      <c r="L22" s="546">
        <f>2708</f>
        <v>2708</v>
      </c>
      <c r="M22" s="556">
        <f>K22</f>
        <v>2708</v>
      </c>
      <c r="N22" s="556"/>
      <c r="O22" s="546"/>
      <c r="P22" s="381"/>
    </row>
    <row r="23" spans="1:16" s="352" customFormat="1" ht="38.25" customHeight="1">
      <c r="A23" s="557" t="s">
        <v>109</v>
      </c>
      <c r="B23" s="558" t="s">
        <v>655</v>
      </c>
      <c r="C23" s="316"/>
      <c r="D23" s="316"/>
      <c r="E23" s="316"/>
      <c r="F23" s="553"/>
      <c r="G23" s="554"/>
      <c r="H23" s="555"/>
      <c r="I23" s="555"/>
      <c r="J23" s="559">
        <f t="shared" ref="J23:K23" si="10">J24+J28</f>
        <v>157938</v>
      </c>
      <c r="K23" s="559">
        <f t="shared" si="10"/>
        <v>56573</v>
      </c>
      <c r="L23" s="559">
        <f t="shared" ref="L23:M23" si="11">L24+L28</f>
        <v>50210</v>
      </c>
      <c r="M23" s="559">
        <f t="shared" si="11"/>
        <v>50210</v>
      </c>
      <c r="N23" s="559"/>
      <c r="O23" s="559"/>
      <c r="P23" s="381"/>
    </row>
    <row r="24" spans="1:16" s="352" customFormat="1" ht="71.25" customHeight="1">
      <c r="A24" s="531" t="s">
        <v>279</v>
      </c>
      <c r="B24" s="538" t="s">
        <v>656</v>
      </c>
      <c r="C24" s="316"/>
      <c r="D24" s="316"/>
      <c r="E24" s="316"/>
      <c r="F24" s="553"/>
      <c r="G24" s="554"/>
      <c r="H24" s="555"/>
      <c r="I24" s="555"/>
      <c r="J24" s="559">
        <f t="shared" ref="J24" si="12">SUM(J25:J27)</f>
        <v>72975</v>
      </c>
      <c r="K24" s="559">
        <f t="shared" ref="K24" si="13">SUM(K25:K27)</f>
        <v>55323</v>
      </c>
      <c r="L24" s="559">
        <f t="shared" ref="L24:M24" si="14">SUM(L25:L27)</f>
        <v>48960</v>
      </c>
      <c r="M24" s="559">
        <f t="shared" si="14"/>
        <v>48960</v>
      </c>
      <c r="N24" s="559"/>
      <c r="O24" s="559"/>
      <c r="P24" s="381"/>
    </row>
    <row r="25" spans="1:16" s="313" customFormat="1" ht="119.25" customHeight="1">
      <c r="A25" s="297">
        <v>1</v>
      </c>
      <c r="B25" s="281" t="s">
        <v>657</v>
      </c>
      <c r="C25" s="297" t="s">
        <v>89</v>
      </c>
      <c r="D25" s="316">
        <v>7816274</v>
      </c>
      <c r="E25" s="297" t="s">
        <v>658</v>
      </c>
      <c r="F25" s="297" t="s">
        <v>659</v>
      </c>
      <c r="G25" s="297" t="s">
        <v>660</v>
      </c>
      <c r="H25" s="297" t="s">
        <v>661</v>
      </c>
      <c r="I25" s="381" t="s">
        <v>662</v>
      </c>
      <c r="J25" s="547">
        <v>28440</v>
      </c>
      <c r="K25" s="547">
        <v>21223</v>
      </c>
      <c r="L25" s="546">
        <f>9823+4000+7400</f>
        <v>21223</v>
      </c>
      <c r="M25" s="547">
        <f>K25</f>
        <v>21223</v>
      </c>
      <c r="N25" s="545"/>
      <c r="O25" s="546"/>
      <c r="P25" s="547"/>
    </row>
    <row r="26" spans="1:16" s="313" customFormat="1" ht="105" customHeight="1">
      <c r="A26" s="297">
        <v>2</v>
      </c>
      <c r="B26" s="281" t="s">
        <v>663</v>
      </c>
      <c r="C26" s="297" t="s">
        <v>89</v>
      </c>
      <c r="D26" s="316">
        <v>7816275</v>
      </c>
      <c r="E26" s="297" t="s">
        <v>658</v>
      </c>
      <c r="F26" s="297" t="s">
        <v>659</v>
      </c>
      <c r="G26" s="297" t="s">
        <v>664</v>
      </c>
      <c r="H26" s="297" t="s">
        <v>661</v>
      </c>
      <c r="I26" s="381" t="s">
        <v>665</v>
      </c>
      <c r="J26" s="547">
        <v>17500</v>
      </c>
      <c r="K26" s="547">
        <v>11100</v>
      </c>
      <c r="L26" s="546">
        <f>6000+4000+1100</f>
        <v>11100</v>
      </c>
      <c r="M26" s="547">
        <f t="shared" ref="M26" si="15">K26</f>
        <v>11100</v>
      </c>
      <c r="N26" s="545"/>
      <c r="O26" s="546"/>
      <c r="P26" s="547"/>
    </row>
    <row r="27" spans="1:16" s="313" customFormat="1" ht="126.75" customHeight="1">
      <c r="A27" s="297">
        <v>3</v>
      </c>
      <c r="B27" s="281" t="s">
        <v>666</v>
      </c>
      <c r="C27" s="297" t="s">
        <v>89</v>
      </c>
      <c r="D27" s="316">
        <v>7816273</v>
      </c>
      <c r="E27" s="297" t="s">
        <v>658</v>
      </c>
      <c r="F27" s="297" t="s">
        <v>667</v>
      </c>
      <c r="G27" s="297" t="s">
        <v>668</v>
      </c>
      <c r="H27" s="297" t="s">
        <v>661</v>
      </c>
      <c r="I27" s="381" t="s">
        <v>669</v>
      </c>
      <c r="J27" s="547">
        <v>27035</v>
      </c>
      <c r="K27" s="547">
        <v>23000</v>
      </c>
      <c r="L27" s="546">
        <f>M27</f>
        <v>16637</v>
      </c>
      <c r="M27" s="547">
        <f>8500+4731+3406</f>
        <v>16637</v>
      </c>
      <c r="N27" s="545"/>
      <c r="O27" s="546"/>
      <c r="P27" s="547"/>
    </row>
    <row r="28" spans="1:16" s="313" customFormat="1" ht="63.75" customHeight="1">
      <c r="A28" s="531" t="s">
        <v>98</v>
      </c>
      <c r="B28" s="538" t="s">
        <v>576</v>
      </c>
      <c r="C28" s="560"/>
      <c r="D28" s="553"/>
      <c r="E28" s="560"/>
      <c r="F28" s="560"/>
      <c r="G28" s="560"/>
      <c r="H28" s="560"/>
      <c r="I28" s="555"/>
      <c r="J28" s="559">
        <f>SUM(J29:J32)</f>
        <v>84963</v>
      </c>
      <c r="K28" s="559">
        <f t="shared" ref="K28" si="16">SUM(K29:K32)</f>
        <v>1250</v>
      </c>
      <c r="L28" s="559">
        <f t="shared" ref="L28:M28" si="17">SUM(L29:L32)</f>
        <v>1250</v>
      </c>
      <c r="M28" s="559">
        <f t="shared" si="17"/>
        <v>1250</v>
      </c>
      <c r="N28" s="559"/>
      <c r="O28" s="559"/>
      <c r="P28" s="547"/>
    </row>
    <row r="29" spans="1:16" s="284" customFormat="1" ht="116.25" customHeight="1">
      <c r="A29" s="296">
        <v>1</v>
      </c>
      <c r="B29" s="371" t="s">
        <v>670</v>
      </c>
      <c r="C29" s="203" t="s">
        <v>89</v>
      </c>
      <c r="D29" s="303"/>
      <c r="E29" s="297" t="s">
        <v>658</v>
      </c>
      <c r="F29" s="279" t="s">
        <v>671</v>
      </c>
      <c r="G29" s="297" t="s">
        <v>672</v>
      </c>
      <c r="H29" s="297" t="s">
        <v>673</v>
      </c>
      <c r="I29" s="381" t="s">
        <v>956</v>
      </c>
      <c r="J29" s="561">
        <v>37000</v>
      </c>
      <c r="K29" s="546">
        <v>520</v>
      </c>
      <c r="L29" s="546">
        <v>520</v>
      </c>
      <c r="M29" s="546">
        <f>K29</f>
        <v>520</v>
      </c>
      <c r="N29" s="545"/>
      <c r="O29" s="546"/>
      <c r="P29" s="562"/>
    </row>
    <row r="30" spans="1:16" s="284" customFormat="1" ht="123.75" customHeight="1">
      <c r="A30" s="296">
        <v>2</v>
      </c>
      <c r="B30" s="319" t="s">
        <v>674</v>
      </c>
      <c r="C30" s="203" t="s">
        <v>89</v>
      </c>
      <c r="D30" s="303"/>
      <c r="E30" s="297" t="s">
        <v>658</v>
      </c>
      <c r="F30" s="279" t="s">
        <v>671</v>
      </c>
      <c r="G30" s="297" t="s">
        <v>675</v>
      </c>
      <c r="H30" s="297" t="s">
        <v>673</v>
      </c>
      <c r="I30" s="381" t="s">
        <v>676</v>
      </c>
      <c r="J30" s="545">
        <v>14000</v>
      </c>
      <c r="K30" s="546">
        <v>100</v>
      </c>
      <c r="L30" s="546">
        <v>100</v>
      </c>
      <c r="M30" s="546">
        <f t="shared" ref="M30:M32" si="18">K30</f>
        <v>100</v>
      </c>
      <c r="N30" s="545"/>
      <c r="O30" s="546"/>
      <c r="P30" s="562"/>
    </row>
    <row r="31" spans="1:16" s="284" customFormat="1" ht="196.5" customHeight="1">
      <c r="A31" s="296">
        <v>3</v>
      </c>
      <c r="B31" s="319" t="s">
        <v>677</v>
      </c>
      <c r="C31" s="203" t="s">
        <v>89</v>
      </c>
      <c r="D31" s="303"/>
      <c r="E31" s="297" t="s">
        <v>658</v>
      </c>
      <c r="F31" s="296" t="s">
        <v>678</v>
      </c>
      <c r="G31" s="297" t="s">
        <v>679</v>
      </c>
      <c r="H31" s="297" t="s">
        <v>673</v>
      </c>
      <c r="I31" s="381" t="s">
        <v>680</v>
      </c>
      <c r="J31" s="545">
        <v>11500</v>
      </c>
      <c r="K31" s="546">
        <v>530</v>
      </c>
      <c r="L31" s="546">
        <v>530</v>
      </c>
      <c r="M31" s="546">
        <f t="shared" si="18"/>
        <v>530</v>
      </c>
      <c r="N31" s="545"/>
      <c r="O31" s="546"/>
      <c r="P31" s="562"/>
    </row>
    <row r="32" spans="1:16" s="284" customFormat="1" ht="232.5" customHeight="1">
      <c r="A32" s="296">
        <v>4</v>
      </c>
      <c r="B32" s="319" t="s">
        <v>681</v>
      </c>
      <c r="C32" s="203" t="s">
        <v>89</v>
      </c>
      <c r="D32" s="303"/>
      <c r="E32" s="297" t="s">
        <v>658</v>
      </c>
      <c r="F32" s="296" t="s">
        <v>678</v>
      </c>
      <c r="G32" s="297" t="s">
        <v>682</v>
      </c>
      <c r="H32" s="297" t="s">
        <v>673</v>
      </c>
      <c r="I32" s="381" t="s">
        <v>683</v>
      </c>
      <c r="J32" s="545">
        <v>22463</v>
      </c>
      <c r="K32" s="546">
        <v>100</v>
      </c>
      <c r="L32" s="546">
        <v>100</v>
      </c>
      <c r="M32" s="546">
        <f t="shared" si="18"/>
        <v>100</v>
      </c>
      <c r="N32" s="545"/>
      <c r="O32" s="546"/>
      <c r="P32" s="562"/>
    </row>
    <row r="33" spans="1:16" s="352" customFormat="1" ht="51.75" customHeight="1">
      <c r="A33" s="563" t="s">
        <v>122</v>
      </c>
      <c r="B33" s="564" t="s">
        <v>684</v>
      </c>
      <c r="C33" s="565"/>
      <c r="D33" s="565"/>
      <c r="E33" s="565"/>
      <c r="F33" s="565"/>
      <c r="G33" s="566"/>
      <c r="H33" s="567"/>
      <c r="I33" s="567"/>
      <c r="J33" s="559">
        <f>J34</f>
        <v>149000</v>
      </c>
      <c r="K33" s="559">
        <f t="shared" ref="K33" si="19">K34</f>
        <v>140850</v>
      </c>
      <c r="L33" s="559">
        <f t="shared" ref="L33:M33" si="20">L34</f>
        <v>137629</v>
      </c>
      <c r="M33" s="559">
        <f t="shared" si="20"/>
        <v>137629</v>
      </c>
      <c r="N33" s="559"/>
      <c r="O33" s="559"/>
      <c r="P33" s="381"/>
    </row>
    <row r="34" spans="1:16" s="352" customFormat="1" ht="61.5" customHeight="1">
      <c r="A34" s="531" t="s">
        <v>279</v>
      </c>
      <c r="B34" s="538" t="s">
        <v>685</v>
      </c>
      <c r="C34" s="553"/>
      <c r="D34" s="553"/>
      <c r="E34" s="553"/>
      <c r="F34" s="553"/>
      <c r="G34" s="554"/>
      <c r="H34" s="555"/>
      <c r="I34" s="555"/>
      <c r="J34" s="559">
        <f>SUM(J35:J40)</f>
        <v>149000</v>
      </c>
      <c r="K34" s="559">
        <f t="shared" ref="K34" si="21">SUM(K35:K40)</f>
        <v>140850</v>
      </c>
      <c r="L34" s="559">
        <f t="shared" ref="L34:M34" si="22">SUM(L35:L40)</f>
        <v>137629</v>
      </c>
      <c r="M34" s="559">
        <f t="shared" si="22"/>
        <v>137629</v>
      </c>
      <c r="N34" s="559"/>
      <c r="O34" s="559"/>
      <c r="P34" s="381"/>
    </row>
    <row r="35" spans="1:16" s="352" customFormat="1" ht="188.25" customHeight="1">
      <c r="A35" s="203">
        <v>1</v>
      </c>
      <c r="B35" s="568" t="s">
        <v>686</v>
      </c>
      <c r="C35" s="203" t="s">
        <v>89</v>
      </c>
      <c r="D35" s="303"/>
      <c r="E35" s="279" t="s">
        <v>687</v>
      </c>
      <c r="F35" s="279" t="s">
        <v>688</v>
      </c>
      <c r="G35" s="297" t="s">
        <v>689</v>
      </c>
      <c r="H35" s="297" t="s">
        <v>673</v>
      </c>
      <c r="I35" s="381" t="s">
        <v>690</v>
      </c>
      <c r="J35" s="561">
        <v>21000</v>
      </c>
      <c r="K35" s="546">
        <v>20000</v>
      </c>
      <c r="L35" s="546">
        <f>4500+3570+11752</f>
        <v>19822</v>
      </c>
      <c r="M35" s="546">
        <f>L35</f>
        <v>19822</v>
      </c>
      <c r="N35" s="545"/>
      <c r="O35" s="546"/>
      <c r="P35" s="381" t="s">
        <v>2296</v>
      </c>
    </row>
    <row r="36" spans="1:16" s="352" customFormat="1" ht="138.75" customHeight="1">
      <c r="A36" s="203">
        <v>2</v>
      </c>
      <c r="B36" s="334" t="s">
        <v>691</v>
      </c>
      <c r="C36" s="203" t="s">
        <v>89</v>
      </c>
      <c r="D36" s="303"/>
      <c r="E36" s="279" t="s">
        <v>687</v>
      </c>
      <c r="F36" s="279" t="s">
        <v>692</v>
      </c>
      <c r="G36" s="297" t="s">
        <v>693</v>
      </c>
      <c r="H36" s="297" t="s">
        <v>673</v>
      </c>
      <c r="I36" s="381" t="s">
        <v>694</v>
      </c>
      <c r="J36" s="561">
        <v>11000</v>
      </c>
      <c r="K36" s="546">
        <v>11000</v>
      </c>
      <c r="L36" s="546">
        <f>4300+500+6200</f>
        <v>11000</v>
      </c>
      <c r="M36" s="546">
        <f>K36</f>
        <v>11000</v>
      </c>
      <c r="N36" s="545"/>
      <c r="O36" s="546"/>
      <c r="P36" s="381"/>
    </row>
    <row r="37" spans="1:16" s="352" customFormat="1" ht="138.75" customHeight="1">
      <c r="A37" s="203">
        <v>3</v>
      </c>
      <c r="B37" s="334" t="s">
        <v>695</v>
      </c>
      <c r="C37" s="203" t="s">
        <v>89</v>
      </c>
      <c r="D37" s="303"/>
      <c r="E37" s="279" t="s">
        <v>687</v>
      </c>
      <c r="F37" s="279" t="s">
        <v>692</v>
      </c>
      <c r="G37" s="297" t="s">
        <v>696</v>
      </c>
      <c r="H37" s="297" t="s">
        <v>673</v>
      </c>
      <c r="I37" s="381" t="s">
        <v>697</v>
      </c>
      <c r="J37" s="561">
        <v>18000</v>
      </c>
      <c r="K37" s="546">
        <v>15000</v>
      </c>
      <c r="L37" s="546">
        <f>5978+3525+5120</f>
        <v>14623</v>
      </c>
      <c r="M37" s="546">
        <f>L37</f>
        <v>14623</v>
      </c>
      <c r="N37" s="545"/>
      <c r="O37" s="546"/>
      <c r="P37" s="381"/>
    </row>
    <row r="38" spans="1:16" s="352" customFormat="1" ht="150.75" customHeight="1">
      <c r="A38" s="203">
        <v>4</v>
      </c>
      <c r="B38" s="283" t="s">
        <v>698</v>
      </c>
      <c r="C38" s="203" t="s">
        <v>89</v>
      </c>
      <c r="D38" s="303"/>
      <c r="E38" s="279" t="s">
        <v>687</v>
      </c>
      <c r="F38" s="296" t="s">
        <v>699</v>
      </c>
      <c r="G38" s="297" t="s">
        <v>700</v>
      </c>
      <c r="H38" s="297" t="s">
        <v>673</v>
      </c>
      <c r="I38" s="381" t="s">
        <v>701</v>
      </c>
      <c r="J38" s="561">
        <v>22000</v>
      </c>
      <c r="K38" s="546">
        <v>20000</v>
      </c>
      <c r="L38" s="546">
        <f>1500+3500+14065</f>
        <v>19065</v>
      </c>
      <c r="M38" s="546">
        <f>L38</f>
        <v>19065</v>
      </c>
      <c r="N38" s="545"/>
      <c r="O38" s="546"/>
      <c r="P38" s="381"/>
    </row>
    <row r="39" spans="1:16" s="352" customFormat="1" ht="168.75" customHeight="1">
      <c r="A39" s="203">
        <v>5</v>
      </c>
      <c r="B39" s="283" t="s">
        <v>702</v>
      </c>
      <c r="C39" s="203" t="s">
        <v>89</v>
      </c>
      <c r="D39" s="303"/>
      <c r="E39" s="279" t="s">
        <v>687</v>
      </c>
      <c r="F39" s="296" t="s">
        <v>699</v>
      </c>
      <c r="G39" s="297" t="s">
        <v>703</v>
      </c>
      <c r="H39" s="297" t="s">
        <v>673</v>
      </c>
      <c r="I39" s="381" t="s">
        <v>704</v>
      </c>
      <c r="J39" s="561">
        <v>37000</v>
      </c>
      <c r="K39" s="546">
        <v>35950</v>
      </c>
      <c r="L39" s="546">
        <f>2500+4178+28710</f>
        <v>35388</v>
      </c>
      <c r="M39" s="546">
        <f>L39</f>
        <v>35388</v>
      </c>
      <c r="N39" s="545"/>
      <c r="O39" s="546"/>
      <c r="P39" s="381"/>
    </row>
    <row r="40" spans="1:16" s="352" customFormat="1" ht="138.75" customHeight="1">
      <c r="A40" s="203">
        <v>6</v>
      </c>
      <c r="B40" s="283" t="s">
        <v>705</v>
      </c>
      <c r="C40" s="203" t="s">
        <v>89</v>
      </c>
      <c r="D40" s="303"/>
      <c r="E40" s="279" t="s">
        <v>687</v>
      </c>
      <c r="F40" s="296" t="s">
        <v>699</v>
      </c>
      <c r="G40" s="297" t="s">
        <v>706</v>
      </c>
      <c r="H40" s="297" t="s">
        <v>673</v>
      </c>
      <c r="I40" s="381" t="s">
        <v>707</v>
      </c>
      <c r="J40" s="561">
        <v>40000</v>
      </c>
      <c r="K40" s="546">
        <v>38900</v>
      </c>
      <c r="L40" s="546">
        <f>2500+2500+32731</f>
        <v>37731</v>
      </c>
      <c r="M40" s="546">
        <f>L40</f>
        <v>37731</v>
      </c>
      <c r="N40" s="545"/>
      <c r="O40" s="546"/>
      <c r="P40" s="381"/>
    </row>
    <row r="41" spans="1:16" s="352" customFormat="1" ht="51.75" customHeight="1">
      <c r="A41" s="557" t="s">
        <v>125</v>
      </c>
      <c r="B41" s="564" t="s">
        <v>708</v>
      </c>
      <c r="C41" s="316"/>
      <c r="D41" s="316"/>
      <c r="E41" s="316"/>
      <c r="F41" s="316"/>
      <c r="G41" s="298"/>
      <c r="H41" s="381"/>
      <c r="I41" s="381"/>
      <c r="J41" s="534">
        <f t="shared" ref="J41" si="23">J42+J47</f>
        <v>215269</v>
      </c>
      <c r="K41" s="534">
        <f>K42+K47</f>
        <v>173400</v>
      </c>
      <c r="L41" s="534">
        <f t="shared" ref="L41:M41" si="24">L42+L47</f>
        <v>162441</v>
      </c>
      <c r="M41" s="534">
        <f t="shared" si="24"/>
        <v>162441</v>
      </c>
      <c r="N41" s="534"/>
      <c r="O41" s="534"/>
      <c r="P41" s="381"/>
    </row>
    <row r="42" spans="1:16" s="352" customFormat="1" ht="63" customHeight="1">
      <c r="A42" s="531" t="s">
        <v>279</v>
      </c>
      <c r="B42" s="538" t="s">
        <v>656</v>
      </c>
      <c r="C42" s="316"/>
      <c r="D42" s="316"/>
      <c r="E42" s="316"/>
      <c r="F42" s="316"/>
      <c r="G42" s="298"/>
      <c r="H42" s="381"/>
      <c r="I42" s="381"/>
      <c r="J42" s="534">
        <f t="shared" ref="J42" si="25">SUM(J43:J46)</f>
        <v>120869</v>
      </c>
      <c r="K42" s="534">
        <f>SUM(K43:K46)</f>
        <v>79000</v>
      </c>
      <c r="L42" s="534">
        <f t="shared" ref="L42:M42" si="26">SUM(L43:L46)</f>
        <v>74411</v>
      </c>
      <c r="M42" s="534">
        <f t="shared" si="26"/>
        <v>74411</v>
      </c>
      <c r="N42" s="534"/>
      <c r="O42" s="534"/>
      <c r="P42" s="381"/>
    </row>
    <row r="43" spans="1:16" s="313" customFormat="1" ht="116.25" customHeight="1">
      <c r="A43" s="297">
        <v>1</v>
      </c>
      <c r="B43" s="281" t="s">
        <v>709</v>
      </c>
      <c r="C43" s="316" t="s">
        <v>88</v>
      </c>
      <c r="D43" s="316">
        <v>220200002</v>
      </c>
      <c r="E43" s="381" t="s">
        <v>710</v>
      </c>
      <c r="F43" s="381" t="s">
        <v>711</v>
      </c>
      <c r="G43" s="297" t="s">
        <v>712</v>
      </c>
      <c r="H43" s="381" t="s">
        <v>713</v>
      </c>
      <c r="I43" s="316" t="s">
        <v>714</v>
      </c>
      <c r="J43" s="547">
        <v>48792</v>
      </c>
      <c r="K43" s="547">
        <v>35000</v>
      </c>
      <c r="L43" s="546">
        <f>12567+7000+13440</f>
        <v>33007</v>
      </c>
      <c r="M43" s="547">
        <f>L43</f>
        <v>33007</v>
      </c>
      <c r="N43" s="545"/>
      <c r="O43" s="546"/>
      <c r="P43" s="547"/>
    </row>
    <row r="44" spans="1:16" s="313" customFormat="1" ht="126.75" customHeight="1">
      <c r="A44" s="297">
        <v>2</v>
      </c>
      <c r="B44" s="281" t="s">
        <v>715</v>
      </c>
      <c r="C44" s="297" t="s">
        <v>89</v>
      </c>
      <c r="D44" s="316">
        <v>7812194</v>
      </c>
      <c r="E44" s="297" t="s">
        <v>716</v>
      </c>
      <c r="F44" s="297" t="s">
        <v>717</v>
      </c>
      <c r="G44" s="297" t="s">
        <v>718</v>
      </c>
      <c r="H44" s="297" t="s">
        <v>661</v>
      </c>
      <c r="I44" s="316" t="s">
        <v>719</v>
      </c>
      <c r="J44" s="547">
        <v>25124</v>
      </c>
      <c r="K44" s="545">
        <v>15000</v>
      </c>
      <c r="L44" s="546">
        <f>8000+3000+2700-81</f>
        <v>13619</v>
      </c>
      <c r="M44" s="547">
        <f>L44</f>
        <v>13619</v>
      </c>
      <c r="N44" s="545"/>
      <c r="O44" s="546"/>
      <c r="P44" s="547"/>
    </row>
    <row r="45" spans="1:16" s="313" customFormat="1" ht="113.25" customHeight="1">
      <c r="A45" s="297">
        <v>3</v>
      </c>
      <c r="B45" s="281" t="s">
        <v>720</v>
      </c>
      <c r="C45" s="297" t="s">
        <v>89</v>
      </c>
      <c r="D45" s="316">
        <v>7812193</v>
      </c>
      <c r="E45" s="297" t="s">
        <v>716</v>
      </c>
      <c r="F45" s="297" t="s">
        <v>721</v>
      </c>
      <c r="G45" s="297" t="s">
        <v>722</v>
      </c>
      <c r="H45" s="297" t="s">
        <v>661</v>
      </c>
      <c r="I45" s="316" t="s">
        <v>723</v>
      </c>
      <c r="J45" s="547">
        <v>27353</v>
      </c>
      <c r="K45" s="545">
        <v>19000</v>
      </c>
      <c r="L45" s="546">
        <f>4000+3000+11603</f>
        <v>18603</v>
      </c>
      <c r="M45" s="547">
        <f t="shared" ref="M45:M46" si="27">L45</f>
        <v>18603</v>
      </c>
      <c r="N45" s="545"/>
      <c r="O45" s="546"/>
      <c r="P45" s="547"/>
    </row>
    <row r="46" spans="1:16" s="313" customFormat="1" ht="105.75" customHeight="1">
      <c r="A46" s="297">
        <v>4</v>
      </c>
      <c r="B46" s="569" t="s">
        <v>724</v>
      </c>
      <c r="C46" s="297" t="s">
        <v>89</v>
      </c>
      <c r="D46" s="316">
        <v>7811052</v>
      </c>
      <c r="E46" s="297" t="s">
        <v>716</v>
      </c>
      <c r="F46" s="297" t="s">
        <v>725</v>
      </c>
      <c r="G46" s="297" t="s">
        <v>726</v>
      </c>
      <c r="H46" s="297" t="s">
        <v>661</v>
      </c>
      <c r="I46" s="296" t="s">
        <v>727</v>
      </c>
      <c r="J46" s="547">
        <v>19600</v>
      </c>
      <c r="K46" s="545">
        <v>10000</v>
      </c>
      <c r="L46" s="546">
        <f>6000+3182</f>
        <v>9182</v>
      </c>
      <c r="M46" s="547">
        <f t="shared" si="27"/>
        <v>9182</v>
      </c>
      <c r="N46" s="545"/>
      <c r="O46" s="546"/>
      <c r="P46" s="547"/>
    </row>
    <row r="47" spans="1:16" s="313" customFormat="1" ht="69" customHeight="1">
      <c r="A47" s="531" t="s">
        <v>98</v>
      </c>
      <c r="B47" s="538" t="s">
        <v>685</v>
      </c>
      <c r="C47" s="297"/>
      <c r="D47" s="316"/>
      <c r="E47" s="297"/>
      <c r="F47" s="297"/>
      <c r="H47" s="297"/>
      <c r="I47" s="296"/>
      <c r="J47" s="534">
        <f>SUM(J48:J51)</f>
        <v>94400</v>
      </c>
      <c r="K47" s="534">
        <f t="shared" ref="K47" si="28">SUM(K48:K51)</f>
        <v>94400</v>
      </c>
      <c r="L47" s="534">
        <f t="shared" ref="L47:M47" si="29">SUM(L48:L51)</f>
        <v>88030</v>
      </c>
      <c r="M47" s="534">
        <f t="shared" si="29"/>
        <v>88030</v>
      </c>
      <c r="N47" s="534"/>
      <c r="O47" s="534"/>
      <c r="P47" s="547"/>
    </row>
    <row r="48" spans="1:16" s="313" customFormat="1" ht="88.5" customHeight="1">
      <c r="A48" s="316">
        <v>1</v>
      </c>
      <c r="B48" s="334" t="s">
        <v>728</v>
      </c>
      <c r="C48" s="297" t="s">
        <v>89</v>
      </c>
      <c r="D48" s="297"/>
      <c r="E48" s="297" t="s">
        <v>716</v>
      </c>
      <c r="F48" s="297" t="s">
        <v>729</v>
      </c>
      <c r="G48" s="297" t="s">
        <v>730</v>
      </c>
      <c r="H48" s="297" t="s">
        <v>673</v>
      </c>
      <c r="I48" s="296" t="s">
        <v>731</v>
      </c>
      <c r="J48" s="561">
        <v>24900</v>
      </c>
      <c r="K48" s="545">
        <v>24900</v>
      </c>
      <c r="L48" s="546">
        <f>4982+2500+12236</f>
        <v>19718</v>
      </c>
      <c r="M48" s="545">
        <f>L48</f>
        <v>19718</v>
      </c>
      <c r="N48" s="545"/>
      <c r="O48" s="546"/>
      <c r="P48" s="547"/>
    </row>
    <row r="49" spans="1:16" s="313" customFormat="1" ht="141" customHeight="1">
      <c r="A49" s="316">
        <v>2</v>
      </c>
      <c r="B49" s="281" t="s">
        <v>732</v>
      </c>
      <c r="C49" s="297" t="s">
        <v>89</v>
      </c>
      <c r="D49" s="297"/>
      <c r="E49" s="297" t="s">
        <v>716</v>
      </c>
      <c r="F49" s="297" t="s">
        <v>729</v>
      </c>
      <c r="G49" s="297" t="s">
        <v>733</v>
      </c>
      <c r="H49" s="297" t="s">
        <v>673</v>
      </c>
      <c r="I49" s="296" t="s">
        <v>734</v>
      </c>
      <c r="J49" s="561">
        <v>21800</v>
      </c>
      <c r="K49" s="545">
        <v>21800</v>
      </c>
      <c r="L49" s="546">
        <f>5500+2500+13704</f>
        <v>21704</v>
      </c>
      <c r="M49" s="545">
        <f t="shared" ref="M49:M51" si="30">L49</f>
        <v>21704</v>
      </c>
      <c r="N49" s="545"/>
      <c r="O49" s="546"/>
      <c r="P49" s="547"/>
    </row>
    <row r="50" spans="1:16" s="313" customFormat="1" ht="126" customHeight="1">
      <c r="A50" s="316">
        <v>3</v>
      </c>
      <c r="B50" s="281" t="s">
        <v>735</v>
      </c>
      <c r="C50" s="297" t="s">
        <v>89</v>
      </c>
      <c r="D50" s="297"/>
      <c r="E50" s="297" t="s">
        <v>716</v>
      </c>
      <c r="F50" s="297" t="s">
        <v>729</v>
      </c>
      <c r="G50" s="297" t="s">
        <v>736</v>
      </c>
      <c r="H50" s="297" t="s">
        <v>673</v>
      </c>
      <c r="I50" s="296" t="s">
        <v>737</v>
      </c>
      <c r="J50" s="561">
        <v>21500</v>
      </c>
      <c r="K50" s="545">
        <v>21500</v>
      </c>
      <c r="L50" s="546">
        <f>6590+2500+9423+2810</f>
        <v>21323</v>
      </c>
      <c r="M50" s="545">
        <f t="shared" si="30"/>
        <v>21323</v>
      </c>
      <c r="N50" s="545"/>
      <c r="O50" s="546"/>
      <c r="P50" s="547"/>
    </row>
    <row r="51" spans="1:16" s="313" customFormat="1" ht="75.75" customHeight="1">
      <c r="A51" s="316">
        <v>4</v>
      </c>
      <c r="B51" s="281" t="s">
        <v>738</v>
      </c>
      <c r="C51" s="297" t="s">
        <v>89</v>
      </c>
      <c r="D51" s="297"/>
      <c r="E51" s="297" t="s">
        <v>716</v>
      </c>
      <c r="F51" s="297" t="s">
        <v>739</v>
      </c>
      <c r="G51" s="279" t="s">
        <v>740</v>
      </c>
      <c r="H51" s="297" t="s">
        <v>673</v>
      </c>
      <c r="I51" s="296" t="s">
        <v>741</v>
      </c>
      <c r="J51" s="561">
        <v>26200</v>
      </c>
      <c r="K51" s="545">
        <v>26200</v>
      </c>
      <c r="L51" s="546">
        <f>7992+4000+10573+2720</f>
        <v>25285</v>
      </c>
      <c r="M51" s="545">
        <f t="shared" si="30"/>
        <v>25285</v>
      </c>
      <c r="N51" s="545"/>
      <c r="O51" s="546"/>
      <c r="P51" s="547"/>
    </row>
    <row r="52" spans="1:16" s="313" customFormat="1" ht="52.5" customHeight="1">
      <c r="A52" s="549" t="s">
        <v>133</v>
      </c>
      <c r="B52" s="564" t="s">
        <v>742</v>
      </c>
      <c r="C52" s="540"/>
      <c r="D52" s="540"/>
      <c r="E52" s="540"/>
      <c r="F52" s="540"/>
      <c r="G52" s="336"/>
      <c r="H52" s="297"/>
      <c r="I52" s="531"/>
      <c r="J52" s="535">
        <f t="shared" ref="J52" si="31">J53+J59</f>
        <v>229352</v>
      </c>
      <c r="K52" s="535">
        <f>K53+K59</f>
        <v>192298</v>
      </c>
      <c r="L52" s="535">
        <f t="shared" ref="L52:M52" si="32">L53+L59</f>
        <v>173038</v>
      </c>
      <c r="M52" s="535">
        <f t="shared" si="32"/>
        <v>173038</v>
      </c>
      <c r="N52" s="535"/>
      <c r="O52" s="535"/>
      <c r="P52" s="547"/>
    </row>
    <row r="53" spans="1:16" s="313" customFormat="1" ht="60" customHeight="1">
      <c r="A53" s="549" t="s">
        <v>279</v>
      </c>
      <c r="B53" s="538" t="s">
        <v>656</v>
      </c>
      <c r="C53" s="540"/>
      <c r="D53" s="540"/>
      <c r="E53" s="540"/>
      <c r="F53" s="540"/>
      <c r="G53" s="336"/>
      <c r="H53" s="297"/>
      <c r="I53" s="531"/>
      <c r="J53" s="535">
        <f t="shared" ref="J53" si="33">SUM(J54:J58)</f>
        <v>148243</v>
      </c>
      <c r="K53" s="535">
        <f>SUM(K54:K58)</f>
        <v>112400</v>
      </c>
      <c r="L53" s="535">
        <f t="shared" ref="L53:M53" si="34">SUM(L54:L58)</f>
        <v>98874</v>
      </c>
      <c r="M53" s="535">
        <f t="shared" si="34"/>
        <v>98874</v>
      </c>
      <c r="N53" s="535"/>
      <c r="O53" s="535"/>
      <c r="P53" s="547"/>
    </row>
    <row r="54" spans="1:16" s="313" customFormat="1" ht="105" customHeight="1">
      <c r="A54" s="381">
        <v>1</v>
      </c>
      <c r="B54" s="570" t="s">
        <v>743</v>
      </c>
      <c r="C54" s="381" t="s">
        <v>88</v>
      </c>
      <c r="D54" s="316">
        <v>7740567</v>
      </c>
      <c r="E54" s="297" t="s">
        <v>744</v>
      </c>
      <c r="F54" s="381" t="s">
        <v>745</v>
      </c>
      <c r="G54" s="297" t="s">
        <v>746</v>
      </c>
      <c r="H54" s="297" t="s">
        <v>747</v>
      </c>
      <c r="I54" s="316" t="s">
        <v>748</v>
      </c>
      <c r="J54" s="571">
        <v>55513</v>
      </c>
      <c r="K54" s="571">
        <v>44500</v>
      </c>
      <c r="L54" s="546">
        <f>8896+6000+26577</f>
        <v>41473</v>
      </c>
      <c r="M54" s="571">
        <f>L54</f>
        <v>41473</v>
      </c>
      <c r="N54" s="571"/>
      <c r="O54" s="546"/>
      <c r="P54" s="547"/>
    </row>
    <row r="55" spans="1:16" s="313" customFormat="1" ht="105" customHeight="1">
      <c r="A55" s="297">
        <v>2</v>
      </c>
      <c r="B55" s="281" t="s">
        <v>749</v>
      </c>
      <c r="C55" s="297" t="s">
        <v>89</v>
      </c>
      <c r="D55" s="316">
        <v>7796184</v>
      </c>
      <c r="E55" s="297" t="s">
        <v>744</v>
      </c>
      <c r="F55" s="297" t="s">
        <v>750</v>
      </c>
      <c r="G55" s="297" t="s">
        <v>751</v>
      </c>
      <c r="H55" s="297" t="s">
        <v>661</v>
      </c>
      <c r="I55" s="296" t="s">
        <v>752</v>
      </c>
      <c r="J55" s="547">
        <v>17998</v>
      </c>
      <c r="K55" s="571">
        <v>12400</v>
      </c>
      <c r="L55" s="546">
        <f>6000+3000+3098</f>
        <v>12098</v>
      </c>
      <c r="M55" s="571">
        <f t="shared" ref="M55:M58" si="35">L55</f>
        <v>12098</v>
      </c>
      <c r="N55" s="545"/>
      <c r="O55" s="546"/>
      <c r="P55" s="547"/>
    </row>
    <row r="56" spans="1:16" s="313" customFormat="1" ht="105" customHeight="1">
      <c r="A56" s="297">
        <v>3</v>
      </c>
      <c r="B56" s="572" t="s">
        <v>753</v>
      </c>
      <c r="C56" s="297" t="s">
        <v>89</v>
      </c>
      <c r="D56" s="316">
        <v>7797057</v>
      </c>
      <c r="E56" s="297" t="s">
        <v>744</v>
      </c>
      <c r="F56" s="573" t="s">
        <v>754</v>
      </c>
      <c r="G56" s="297" t="s">
        <v>755</v>
      </c>
      <c r="H56" s="297" t="s">
        <v>661</v>
      </c>
      <c r="I56" s="296" t="s">
        <v>756</v>
      </c>
      <c r="J56" s="547">
        <v>16994</v>
      </c>
      <c r="K56" s="571">
        <v>10400</v>
      </c>
      <c r="L56" s="546">
        <f>5400+3000+1430</f>
        <v>9830</v>
      </c>
      <c r="M56" s="571">
        <f t="shared" si="35"/>
        <v>9830</v>
      </c>
      <c r="N56" s="545"/>
      <c r="O56" s="546"/>
      <c r="P56" s="547"/>
    </row>
    <row r="57" spans="1:16" s="313" customFormat="1" ht="105" customHeight="1">
      <c r="A57" s="297">
        <v>4</v>
      </c>
      <c r="B57" s="574" t="s">
        <v>757</v>
      </c>
      <c r="C57" s="297" t="s">
        <v>89</v>
      </c>
      <c r="D57" s="316">
        <v>7797061</v>
      </c>
      <c r="E57" s="297" t="s">
        <v>744</v>
      </c>
      <c r="F57" s="573" t="s">
        <v>754</v>
      </c>
      <c r="G57" s="297" t="s">
        <v>758</v>
      </c>
      <c r="H57" s="297" t="s">
        <v>661</v>
      </c>
      <c r="I57" s="296" t="s">
        <v>759</v>
      </c>
      <c r="J57" s="547">
        <v>27799</v>
      </c>
      <c r="K57" s="571">
        <v>22700</v>
      </c>
      <c r="L57" s="546">
        <f>3956+3500+6400</f>
        <v>13856</v>
      </c>
      <c r="M57" s="571">
        <f t="shared" si="35"/>
        <v>13856</v>
      </c>
      <c r="N57" s="545"/>
      <c r="O57" s="546"/>
      <c r="P57" s="547"/>
    </row>
    <row r="58" spans="1:16" s="313" customFormat="1" ht="105" customHeight="1">
      <c r="A58" s="297">
        <v>5</v>
      </c>
      <c r="B58" s="572" t="s">
        <v>760</v>
      </c>
      <c r="C58" s="297" t="s">
        <v>89</v>
      </c>
      <c r="D58" s="316">
        <v>7796467</v>
      </c>
      <c r="E58" s="297" t="s">
        <v>744</v>
      </c>
      <c r="F58" s="316" t="s">
        <v>761</v>
      </c>
      <c r="G58" s="297" t="s">
        <v>762</v>
      </c>
      <c r="H58" s="297" t="s">
        <v>661</v>
      </c>
      <c r="I58" s="296" t="s">
        <v>763</v>
      </c>
      <c r="J58" s="547">
        <v>29939</v>
      </c>
      <c r="K58" s="571">
        <v>22400</v>
      </c>
      <c r="L58" s="546">
        <f>7328+3500+10789</f>
        <v>21617</v>
      </c>
      <c r="M58" s="571">
        <f t="shared" si="35"/>
        <v>21617</v>
      </c>
      <c r="N58" s="545"/>
      <c r="O58" s="546"/>
      <c r="P58" s="547"/>
    </row>
    <row r="59" spans="1:16" s="313" customFormat="1" ht="75.75" customHeight="1">
      <c r="A59" s="549" t="s">
        <v>98</v>
      </c>
      <c r="B59" s="538" t="s">
        <v>685</v>
      </c>
      <c r="C59" s="540"/>
      <c r="D59" s="540"/>
      <c r="E59" s="540"/>
      <c r="F59" s="540"/>
      <c r="G59" s="336"/>
      <c r="H59" s="531"/>
      <c r="I59" s="531"/>
      <c r="J59" s="535">
        <f t="shared" ref="J59:M59" si="36">SUM(J60:J63)</f>
        <v>81109</v>
      </c>
      <c r="K59" s="535">
        <f t="shared" ref="K59" si="37">SUM(K60:K63)</f>
        <v>79898</v>
      </c>
      <c r="L59" s="535">
        <f t="shared" si="36"/>
        <v>74164</v>
      </c>
      <c r="M59" s="535">
        <f t="shared" si="36"/>
        <v>74164</v>
      </c>
      <c r="N59" s="535"/>
      <c r="O59" s="535"/>
      <c r="P59" s="547"/>
    </row>
    <row r="60" spans="1:16" s="575" customFormat="1" ht="106.5" customHeight="1">
      <c r="A60" s="296">
        <v>1</v>
      </c>
      <c r="B60" s="334" t="s">
        <v>764</v>
      </c>
      <c r="C60" s="293" t="s">
        <v>89</v>
      </c>
      <c r="D60" s="303"/>
      <c r="E60" s="297" t="s">
        <v>744</v>
      </c>
      <c r="F60" s="279" t="s">
        <v>765</v>
      </c>
      <c r="G60" s="296" t="s">
        <v>766</v>
      </c>
      <c r="H60" s="297" t="s">
        <v>673</v>
      </c>
      <c r="I60" s="296" t="s">
        <v>767</v>
      </c>
      <c r="J60" s="571">
        <v>28000</v>
      </c>
      <c r="K60" s="571">
        <v>27000</v>
      </c>
      <c r="L60" s="571">
        <f>864+3000+22068</f>
        <v>25932</v>
      </c>
      <c r="M60" s="571">
        <f>L60</f>
        <v>25932</v>
      </c>
      <c r="N60" s="571"/>
      <c r="O60" s="571"/>
      <c r="P60" s="571"/>
    </row>
    <row r="61" spans="1:16" s="575" customFormat="1" ht="90.75" customHeight="1">
      <c r="A61" s="296">
        <v>2</v>
      </c>
      <c r="B61" s="334" t="s">
        <v>768</v>
      </c>
      <c r="C61" s="293" t="s">
        <v>89</v>
      </c>
      <c r="D61" s="303"/>
      <c r="E61" s="297" t="s">
        <v>744</v>
      </c>
      <c r="F61" s="279" t="s">
        <v>769</v>
      </c>
      <c r="G61" s="278" t="s">
        <v>770</v>
      </c>
      <c r="H61" s="297" t="s">
        <v>673</v>
      </c>
      <c r="I61" s="296" t="s">
        <v>771</v>
      </c>
      <c r="J61" s="571">
        <v>44111</v>
      </c>
      <c r="K61" s="571">
        <v>44000</v>
      </c>
      <c r="L61" s="571">
        <f>5682+3000+20000+15318-4318</f>
        <v>39682</v>
      </c>
      <c r="M61" s="571">
        <f t="shared" ref="M61:M63" si="38">L61</f>
        <v>39682</v>
      </c>
      <c r="N61" s="571"/>
      <c r="O61" s="571"/>
      <c r="P61" s="571"/>
    </row>
    <row r="62" spans="1:16" s="575" customFormat="1" ht="86.25" customHeight="1">
      <c r="A62" s="296">
        <v>3</v>
      </c>
      <c r="B62" s="334" t="s">
        <v>772</v>
      </c>
      <c r="C62" s="293" t="s">
        <v>89</v>
      </c>
      <c r="D62" s="303"/>
      <c r="E62" s="297" t="s">
        <v>744</v>
      </c>
      <c r="F62" s="279" t="s">
        <v>773</v>
      </c>
      <c r="G62" s="278" t="s">
        <v>774</v>
      </c>
      <c r="H62" s="297" t="s">
        <v>673</v>
      </c>
      <c r="I62" s="296" t="s">
        <v>775</v>
      </c>
      <c r="J62" s="571">
        <v>998</v>
      </c>
      <c r="K62" s="571">
        <v>998</v>
      </c>
      <c r="L62" s="571">
        <f>926</f>
        <v>926</v>
      </c>
      <c r="M62" s="571">
        <f t="shared" si="38"/>
        <v>926</v>
      </c>
      <c r="N62" s="571"/>
      <c r="O62" s="571"/>
      <c r="P62" s="571"/>
    </row>
    <row r="63" spans="1:16" s="575" customFormat="1" ht="86.25" customHeight="1">
      <c r="A63" s="296">
        <v>4</v>
      </c>
      <c r="B63" s="334" t="s">
        <v>776</v>
      </c>
      <c r="C63" s="293" t="s">
        <v>89</v>
      </c>
      <c r="D63" s="303"/>
      <c r="E63" s="297" t="s">
        <v>744</v>
      </c>
      <c r="F63" s="279" t="s">
        <v>773</v>
      </c>
      <c r="G63" s="278" t="s">
        <v>777</v>
      </c>
      <c r="H63" s="297" t="s">
        <v>673</v>
      </c>
      <c r="I63" s="296" t="s">
        <v>778</v>
      </c>
      <c r="J63" s="571">
        <v>8000</v>
      </c>
      <c r="K63" s="571">
        <v>7900</v>
      </c>
      <c r="L63" s="571">
        <f>4100+2558+966</f>
        <v>7624</v>
      </c>
      <c r="M63" s="571">
        <f t="shared" si="38"/>
        <v>7624</v>
      </c>
      <c r="N63" s="571"/>
      <c r="O63" s="571"/>
      <c r="P63" s="571"/>
    </row>
    <row r="64" spans="1:16" s="284" customFormat="1" ht="49.5" customHeight="1">
      <c r="A64" s="430" t="s">
        <v>150</v>
      </c>
      <c r="B64" s="576" t="s">
        <v>779</v>
      </c>
      <c r="C64" s="203"/>
      <c r="D64" s="303"/>
      <c r="E64" s="297"/>
      <c r="F64" s="279"/>
      <c r="G64" s="577"/>
      <c r="H64" s="297"/>
      <c r="I64" s="303"/>
      <c r="J64" s="578">
        <f t="shared" ref="J64" si="39">J65+J71</f>
        <v>199537</v>
      </c>
      <c r="K64" s="578">
        <f>K65+K71</f>
        <v>169080</v>
      </c>
      <c r="L64" s="578">
        <f t="shared" ref="L64:M64" si="40">L65+L71</f>
        <v>168908</v>
      </c>
      <c r="M64" s="578">
        <f t="shared" si="40"/>
        <v>168908</v>
      </c>
      <c r="N64" s="578"/>
      <c r="O64" s="578"/>
      <c r="P64" s="562"/>
    </row>
    <row r="65" spans="1:16" s="284" customFormat="1" ht="77.25" customHeight="1">
      <c r="A65" s="430" t="s">
        <v>279</v>
      </c>
      <c r="B65" s="538" t="s">
        <v>656</v>
      </c>
      <c r="C65" s="203"/>
      <c r="D65" s="303"/>
      <c r="E65" s="297"/>
      <c r="F65" s="279"/>
      <c r="G65" s="577"/>
      <c r="H65" s="297"/>
      <c r="I65" s="303"/>
      <c r="J65" s="578">
        <f t="shared" ref="J65" si="41">SUM(J66:J70)</f>
        <v>107500</v>
      </c>
      <c r="K65" s="578">
        <f>SUM(K66:K70)</f>
        <v>84163</v>
      </c>
      <c r="L65" s="578">
        <f t="shared" ref="L65:M65" si="42">SUM(L66:L70)</f>
        <v>82125</v>
      </c>
      <c r="M65" s="578">
        <f t="shared" si="42"/>
        <v>82125</v>
      </c>
      <c r="N65" s="578"/>
      <c r="O65" s="578"/>
      <c r="P65" s="562"/>
    </row>
    <row r="66" spans="1:16" s="313" customFormat="1" ht="123" customHeight="1">
      <c r="A66" s="297">
        <v>1</v>
      </c>
      <c r="B66" s="281" t="s">
        <v>780</v>
      </c>
      <c r="C66" s="297" t="s">
        <v>89</v>
      </c>
      <c r="D66" s="316">
        <v>7807545</v>
      </c>
      <c r="E66" s="297" t="s">
        <v>781</v>
      </c>
      <c r="F66" s="297" t="s">
        <v>782</v>
      </c>
      <c r="G66" s="297" t="s">
        <v>783</v>
      </c>
      <c r="H66" s="297" t="s">
        <v>661</v>
      </c>
      <c r="I66" s="316" t="s">
        <v>784</v>
      </c>
      <c r="J66" s="547">
        <v>24000</v>
      </c>
      <c r="K66" s="547">
        <v>10000</v>
      </c>
      <c r="L66" s="546">
        <f>6000+3475+82</f>
        <v>9557</v>
      </c>
      <c r="M66" s="547">
        <f>L66</f>
        <v>9557</v>
      </c>
      <c r="N66" s="545"/>
      <c r="O66" s="546"/>
      <c r="P66" s="547"/>
    </row>
    <row r="67" spans="1:16" s="313" customFormat="1" ht="123" customHeight="1">
      <c r="A67" s="297">
        <v>2</v>
      </c>
      <c r="B67" s="281" t="s">
        <v>785</v>
      </c>
      <c r="C67" s="297" t="s">
        <v>89</v>
      </c>
      <c r="D67" s="316">
        <v>7813292</v>
      </c>
      <c r="E67" s="297" t="s">
        <v>781</v>
      </c>
      <c r="F67" s="297" t="s">
        <v>786</v>
      </c>
      <c r="G67" s="297" t="s">
        <v>787</v>
      </c>
      <c r="H67" s="297" t="s">
        <v>661</v>
      </c>
      <c r="I67" s="316" t="s">
        <v>788</v>
      </c>
      <c r="J67" s="547">
        <v>31000</v>
      </c>
      <c r="K67" s="547">
        <v>30800</v>
      </c>
      <c r="L67" s="546">
        <f>6377+111+10500+14000</f>
        <v>30988</v>
      </c>
      <c r="M67" s="547">
        <f t="shared" ref="M67:M68" si="43">L67</f>
        <v>30988</v>
      </c>
      <c r="N67" s="545"/>
      <c r="O67" s="546"/>
      <c r="P67" s="547"/>
    </row>
    <row r="68" spans="1:16" s="313" customFormat="1" ht="123" customHeight="1">
      <c r="A68" s="297">
        <v>3</v>
      </c>
      <c r="B68" s="281" t="s">
        <v>789</v>
      </c>
      <c r="C68" s="297" t="s">
        <v>89</v>
      </c>
      <c r="D68" s="316">
        <v>7813291</v>
      </c>
      <c r="E68" s="297" t="s">
        <v>790</v>
      </c>
      <c r="F68" s="297" t="s">
        <v>791</v>
      </c>
      <c r="G68" s="297" t="s">
        <v>792</v>
      </c>
      <c r="H68" s="297" t="s">
        <v>661</v>
      </c>
      <c r="I68" s="316" t="s">
        <v>793</v>
      </c>
      <c r="J68" s="547">
        <v>17000</v>
      </c>
      <c r="K68" s="547">
        <v>14900</v>
      </c>
      <c r="L68" s="546">
        <f>6873+2500+5315</f>
        <v>14688</v>
      </c>
      <c r="M68" s="547">
        <f t="shared" si="43"/>
        <v>14688</v>
      </c>
      <c r="N68" s="545"/>
      <c r="O68" s="546"/>
      <c r="P68" s="547"/>
    </row>
    <row r="69" spans="1:16" s="313" customFormat="1" ht="146.25" customHeight="1">
      <c r="A69" s="297">
        <v>4</v>
      </c>
      <c r="B69" s="281" t="s">
        <v>794</v>
      </c>
      <c r="C69" s="297" t="s">
        <v>89</v>
      </c>
      <c r="D69" s="316">
        <v>320200005</v>
      </c>
      <c r="E69" s="297" t="s">
        <v>790</v>
      </c>
      <c r="F69" s="297" t="s">
        <v>791</v>
      </c>
      <c r="G69" s="297" t="s">
        <v>795</v>
      </c>
      <c r="H69" s="297" t="s">
        <v>661</v>
      </c>
      <c r="I69" s="316" t="s">
        <v>796</v>
      </c>
      <c r="J69" s="547">
        <v>14500</v>
      </c>
      <c r="K69" s="547">
        <v>7863</v>
      </c>
      <c r="L69" s="546">
        <v>7863</v>
      </c>
      <c r="M69" s="547">
        <f>K69</f>
        <v>7863</v>
      </c>
      <c r="N69" s="545"/>
      <c r="O69" s="546"/>
      <c r="P69" s="547"/>
    </row>
    <row r="70" spans="1:16" s="313" customFormat="1" ht="104.25" customHeight="1">
      <c r="A70" s="297">
        <v>5</v>
      </c>
      <c r="B70" s="281" t="s">
        <v>797</v>
      </c>
      <c r="C70" s="297" t="s">
        <v>89</v>
      </c>
      <c r="D70" s="316">
        <v>7807546</v>
      </c>
      <c r="E70" s="297" t="s">
        <v>781</v>
      </c>
      <c r="F70" s="297" t="s">
        <v>798</v>
      </c>
      <c r="G70" s="297" t="s">
        <v>799</v>
      </c>
      <c r="H70" s="297" t="s">
        <v>661</v>
      </c>
      <c r="I70" s="316" t="s">
        <v>800</v>
      </c>
      <c r="J70" s="547">
        <v>21000</v>
      </c>
      <c r="K70" s="547">
        <v>20600</v>
      </c>
      <c r="L70" s="546">
        <f>5706+947+12376</f>
        <v>19029</v>
      </c>
      <c r="M70" s="547">
        <f>L70</f>
        <v>19029</v>
      </c>
      <c r="N70" s="545"/>
      <c r="O70" s="546"/>
      <c r="P70" s="547"/>
    </row>
    <row r="71" spans="1:16" s="284" customFormat="1" ht="62.25" customHeight="1">
      <c r="A71" s="430" t="s">
        <v>98</v>
      </c>
      <c r="B71" s="538" t="s">
        <v>685</v>
      </c>
      <c r="C71" s="203"/>
      <c r="D71" s="303"/>
      <c r="E71" s="297"/>
      <c r="F71" s="279"/>
      <c r="G71" s="577"/>
      <c r="H71" s="297"/>
      <c r="I71" s="303"/>
      <c r="J71" s="578">
        <f t="shared" ref="J71:M71" si="44">SUM(J72:J77)</f>
        <v>92037</v>
      </c>
      <c r="K71" s="578">
        <f>SUM(K72:K77)</f>
        <v>84917</v>
      </c>
      <c r="L71" s="578">
        <f t="shared" si="44"/>
        <v>86783</v>
      </c>
      <c r="M71" s="578">
        <f t="shared" si="44"/>
        <v>86783</v>
      </c>
      <c r="N71" s="578"/>
      <c r="O71" s="578"/>
      <c r="P71" s="562"/>
    </row>
    <row r="72" spans="1:16" s="284" customFormat="1" ht="81.75" customHeight="1">
      <c r="A72" s="203">
        <v>1</v>
      </c>
      <c r="B72" s="281" t="s">
        <v>801</v>
      </c>
      <c r="C72" s="203" t="s">
        <v>89</v>
      </c>
      <c r="D72" s="303"/>
      <c r="E72" s="297" t="s">
        <v>790</v>
      </c>
      <c r="F72" s="278" t="s">
        <v>802</v>
      </c>
      <c r="G72" s="298" t="s">
        <v>803</v>
      </c>
      <c r="H72" s="297" t="s">
        <v>673</v>
      </c>
      <c r="I72" s="316" t="s">
        <v>804</v>
      </c>
      <c r="J72" s="545">
        <v>11479</v>
      </c>
      <c r="K72" s="546">
        <v>6028</v>
      </c>
      <c r="L72" s="546">
        <f>3763+2265</f>
        <v>6028</v>
      </c>
      <c r="M72" s="546">
        <f>L72</f>
        <v>6028</v>
      </c>
      <c r="N72" s="545"/>
      <c r="O72" s="546"/>
      <c r="P72" s="562"/>
    </row>
    <row r="73" spans="1:16" s="284" customFormat="1" ht="81.75" customHeight="1">
      <c r="A73" s="203">
        <v>2</v>
      </c>
      <c r="B73" s="281" t="s">
        <v>805</v>
      </c>
      <c r="C73" s="203" t="s">
        <v>89</v>
      </c>
      <c r="D73" s="303"/>
      <c r="E73" s="297" t="s">
        <v>790</v>
      </c>
      <c r="F73" s="297" t="s">
        <v>802</v>
      </c>
      <c r="G73" s="298" t="s">
        <v>806</v>
      </c>
      <c r="H73" s="297" t="s">
        <v>673</v>
      </c>
      <c r="I73" s="316" t="s">
        <v>807</v>
      </c>
      <c r="J73" s="545">
        <v>4700</v>
      </c>
      <c r="K73" s="546">
        <v>4084</v>
      </c>
      <c r="L73" s="546">
        <f>2323+1761</f>
        <v>4084</v>
      </c>
      <c r="M73" s="546">
        <f t="shared" ref="M73:M75" si="45">L73</f>
        <v>4084</v>
      </c>
      <c r="N73" s="545"/>
      <c r="O73" s="546"/>
      <c r="P73" s="562"/>
    </row>
    <row r="74" spans="1:16" s="284" customFormat="1" ht="81.75" customHeight="1">
      <c r="A74" s="203">
        <v>3</v>
      </c>
      <c r="B74" s="579" t="s">
        <v>808</v>
      </c>
      <c r="C74" s="203" t="s">
        <v>89</v>
      </c>
      <c r="D74" s="303"/>
      <c r="E74" s="297" t="s">
        <v>790</v>
      </c>
      <c r="F74" s="278" t="s">
        <v>809</v>
      </c>
      <c r="G74" s="580" t="s">
        <v>810</v>
      </c>
      <c r="H74" s="297" t="s">
        <v>673</v>
      </c>
      <c r="I74" s="316" t="s">
        <v>811</v>
      </c>
      <c r="J74" s="545">
        <v>32557</v>
      </c>
      <c r="K74" s="546">
        <v>32500</v>
      </c>
      <c r="L74" s="546">
        <f>408+6000+29000</f>
        <v>35408</v>
      </c>
      <c r="M74" s="546">
        <f t="shared" si="45"/>
        <v>35408</v>
      </c>
      <c r="N74" s="545"/>
      <c r="O74" s="546"/>
      <c r="P74" s="562"/>
    </row>
    <row r="75" spans="1:16" s="284" customFormat="1" ht="81.75" customHeight="1">
      <c r="A75" s="203">
        <v>4</v>
      </c>
      <c r="B75" s="579" t="s">
        <v>812</v>
      </c>
      <c r="C75" s="203" t="s">
        <v>89</v>
      </c>
      <c r="D75" s="303"/>
      <c r="E75" s="297" t="s">
        <v>790</v>
      </c>
      <c r="F75" s="278" t="s">
        <v>809</v>
      </c>
      <c r="G75" s="298" t="s">
        <v>813</v>
      </c>
      <c r="H75" s="297" t="s">
        <v>673</v>
      </c>
      <c r="I75" s="316" t="s">
        <v>811</v>
      </c>
      <c r="J75" s="545">
        <v>5948</v>
      </c>
      <c r="K75" s="546">
        <v>5929</v>
      </c>
      <c r="L75" s="546">
        <f>2529+2000+1400</f>
        <v>5929</v>
      </c>
      <c r="M75" s="546">
        <f t="shared" si="45"/>
        <v>5929</v>
      </c>
      <c r="N75" s="545"/>
      <c r="O75" s="546"/>
      <c r="P75" s="562"/>
    </row>
    <row r="76" spans="1:16" s="284" customFormat="1" ht="81.75" customHeight="1">
      <c r="A76" s="203">
        <v>5</v>
      </c>
      <c r="B76" s="281" t="s">
        <v>814</v>
      </c>
      <c r="C76" s="203" t="s">
        <v>89</v>
      </c>
      <c r="D76" s="303"/>
      <c r="E76" s="297" t="s">
        <v>790</v>
      </c>
      <c r="F76" s="278" t="s">
        <v>815</v>
      </c>
      <c r="G76" s="298" t="s">
        <v>816</v>
      </c>
      <c r="H76" s="297" t="s">
        <v>673</v>
      </c>
      <c r="I76" s="316" t="s">
        <v>817</v>
      </c>
      <c r="J76" s="545">
        <v>26813</v>
      </c>
      <c r="K76" s="546">
        <v>26500</v>
      </c>
      <c r="L76" s="546">
        <f>7408+3291+5393+10000</f>
        <v>26092</v>
      </c>
      <c r="M76" s="546">
        <f>L76</f>
        <v>26092</v>
      </c>
      <c r="N76" s="545"/>
      <c r="O76" s="546"/>
      <c r="P76" s="562"/>
    </row>
    <row r="77" spans="1:16" s="284" customFormat="1" ht="81.75" customHeight="1">
      <c r="A77" s="203">
        <v>6</v>
      </c>
      <c r="B77" s="281" t="s">
        <v>818</v>
      </c>
      <c r="C77" s="203" t="s">
        <v>89</v>
      </c>
      <c r="D77" s="303"/>
      <c r="E77" s="297" t="s">
        <v>790</v>
      </c>
      <c r="F77" s="278" t="s">
        <v>815</v>
      </c>
      <c r="G77" s="298" t="s">
        <v>819</v>
      </c>
      <c r="H77" s="297" t="s">
        <v>673</v>
      </c>
      <c r="I77" s="316" t="s">
        <v>820</v>
      </c>
      <c r="J77" s="545">
        <v>10540</v>
      </c>
      <c r="K77" s="546">
        <v>9876</v>
      </c>
      <c r="L77" s="546">
        <f>2304+6172+766</f>
        <v>9242</v>
      </c>
      <c r="M77" s="546">
        <f>L77</f>
        <v>9242</v>
      </c>
      <c r="N77" s="545"/>
      <c r="O77" s="546"/>
      <c r="P77" s="562"/>
    </row>
    <row r="78" spans="1:16" s="575" customFormat="1" ht="59.25" customHeight="1">
      <c r="A78" s="581" t="s">
        <v>165</v>
      </c>
      <c r="B78" s="582" t="s">
        <v>821</v>
      </c>
      <c r="C78" s="583"/>
      <c r="D78" s="584"/>
      <c r="E78" s="581"/>
      <c r="F78" s="581"/>
      <c r="G78" s="585"/>
      <c r="H78" s="581"/>
      <c r="I78" s="586"/>
      <c r="J78" s="587">
        <f t="shared" ref="J78" si="46">J79+J87</f>
        <v>188332</v>
      </c>
      <c r="K78" s="587">
        <f>K79+K87</f>
        <v>141422</v>
      </c>
      <c r="L78" s="587">
        <f t="shared" ref="L78:M78" si="47">L79+L87</f>
        <v>138356</v>
      </c>
      <c r="M78" s="587">
        <f t="shared" si="47"/>
        <v>138356</v>
      </c>
      <c r="N78" s="587"/>
      <c r="O78" s="587"/>
      <c r="P78" s="588"/>
    </row>
    <row r="79" spans="1:16" s="575" customFormat="1" ht="66" customHeight="1">
      <c r="A79" s="581" t="s">
        <v>279</v>
      </c>
      <c r="B79" s="538" t="s">
        <v>656</v>
      </c>
      <c r="C79" s="583"/>
      <c r="D79" s="584"/>
      <c r="E79" s="581"/>
      <c r="F79" s="581"/>
      <c r="G79" s="585"/>
      <c r="H79" s="581"/>
      <c r="I79" s="586"/>
      <c r="J79" s="587">
        <f t="shared" ref="J79" si="48">SUM(J80:J86)</f>
        <v>149603</v>
      </c>
      <c r="K79" s="587">
        <f>SUM(K80:K86)</f>
        <v>103522</v>
      </c>
      <c r="L79" s="587">
        <f t="shared" ref="L79:M79" si="49">SUM(L80:L86)</f>
        <v>100456</v>
      </c>
      <c r="M79" s="587">
        <f t="shared" si="49"/>
        <v>100456</v>
      </c>
      <c r="N79" s="587"/>
      <c r="O79" s="587"/>
      <c r="P79" s="588"/>
    </row>
    <row r="80" spans="1:16" s="313" customFormat="1" ht="107.25" customHeight="1">
      <c r="A80" s="297">
        <v>1</v>
      </c>
      <c r="B80" s="281" t="s">
        <v>822</v>
      </c>
      <c r="C80" s="297" t="s">
        <v>89</v>
      </c>
      <c r="D80" s="316">
        <v>7817336</v>
      </c>
      <c r="E80" s="297" t="s">
        <v>823</v>
      </c>
      <c r="F80" s="297" t="s">
        <v>824</v>
      </c>
      <c r="G80" s="297" t="s">
        <v>825</v>
      </c>
      <c r="H80" s="297" t="s">
        <v>661</v>
      </c>
      <c r="I80" s="381" t="s">
        <v>826</v>
      </c>
      <c r="J80" s="547">
        <v>19993</v>
      </c>
      <c r="K80" s="547">
        <v>12490</v>
      </c>
      <c r="L80" s="546">
        <f>2800+4000+5602</f>
        <v>12402</v>
      </c>
      <c r="M80" s="547">
        <f>L80</f>
        <v>12402</v>
      </c>
      <c r="N80" s="545"/>
      <c r="O80" s="546"/>
      <c r="P80" s="547"/>
    </row>
    <row r="81" spans="1:16" s="313" customFormat="1" ht="105.75" customHeight="1">
      <c r="A81" s="297">
        <v>2</v>
      </c>
      <c r="B81" s="281" t="s">
        <v>827</v>
      </c>
      <c r="C81" s="297" t="s">
        <v>89</v>
      </c>
      <c r="D81" s="316">
        <v>7822017</v>
      </c>
      <c r="E81" s="297" t="s">
        <v>823</v>
      </c>
      <c r="F81" s="297" t="s">
        <v>828</v>
      </c>
      <c r="G81" s="297" t="s">
        <v>829</v>
      </c>
      <c r="H81" s="297" t="s">
        <v>661</v>
      </c>
      <c r="I81" s="381" t="s">
        <v>830</v>
      </c>
      <c r="J81" s="547">
        <v>14979</v>
      </c>
      <c r="K81" s="547">
        <v>10971</v>
      </c>
      <c r="L81" s="546">
        <f>500+4571+5945</f>
        <v>11016</v>
      </c>
      <c r="M81" s="547">
        <f t="shared" ref="M81:M86" si="50">L81</f>
        <v>11016</v>
      </c>
      <c r="N81" s="545"/>
      <c r="O81" s="546"/>
      <c r="P81" s="547"/>
    </row>
    <row r="82" spans="1:16" s="313" customFormat="1" ht="104.25" customHeight="1">
      <c r="A82" s="297">
        <v>3</v>
      </c>
      <c r="B82" s="281" t="s">
        <v>831</v>
      </c>
      <c r="C82" s="297" t="s">
        <v>89</v>
      </c>
      <c r="D82" s="316">
        <v>7817979</v>
      </c>
      <c r="E82" s="297" t="s">
        <v>823</v>
      </c>
      <c r="F82" s="297" t="s">
        <v>832</v>
      </c>
      <c r="G82" s="297" t="s">
        <v>833</v>
      </c>
      <c r="H82" s="297" t="s">
        <v>661</v>
      </c>
      <c r="I82" s="381" t="s">
        <v>834</v>
      </c>
      <c r="J82" s="547">
        <v>29000</v>
      </c>
      <c r="K82" s="547">
        <v>18500</v>
      </c>
      <c r="L82" s="546">
        <f>9000+3000+4977</f>
        <v>16977</v>
      </c>
      <c r="M82" s="547">
        <f t="shared" si="50"/>
        <v>16977</v>
      </c>
      <c r="N82" s="545"/>
      <c r="O82" s="546"/>
      <c r="P82" s="547"/>
    </row>
    <row r="83" spans="1:16" s="313" customFormat="1" ht="104.25" customHeight="1">
      <c r="A83" s="297">
        <v>4</v>
      </c>
      <c r="B83" s="281" t="s">
        <v>835</v>
      </c>
      <c r="C83" s="297" t="s">
        <v>89</v>
      </c>
      <c r="D83" s="316">
        <v>7826231</v>
      </c>
      <c r="E83" s="297" t="s">
        <v>823</v>
      </c>
      <c r="F83" s="297" t="s">
        <v>836</v>
      </c>
      <c r="G83" s="297" t="s">
        <v>837</v>
      </c>
      <c r="H83" s="297" t="s">
        <v>661</v>
      </c>
      <c r="I83" s="381" t="s">
        <v>838</v>
      </c>
      <c r="J83" s="547">
        <v>8347</v>
      </c>
      <c r="K83" s="547">
        <v>3460</v>
      </c>
      <c r="L83" s="546">
        <f>30+3430</f>
        <v>3460</v>
      </c>
      <c r="M83" s="547">
        <f t="shared" si="50"/>
        <v>3460</v>
      </c>
      <c r="N83" s="545"/>
      <c r="O83" s="546"/>
      <c r="P83" s="547"/>
    </row>
    <row r="84" spans="1:16" s="313" customFormat="1" ht="163.5" customHeight="1">
      <c r="A84" s="297">
        <v>5</v>
      </c>
      <c r="B84" s="281" t="s">
        <v>839</v>
      </c>
      <c r="C84" s="297" t="s">
        <v>89</v>
      </c>
      <c r="D84" s="316">
        <v>7829616</v>
      </c>
      <c r="E84" s="297" t="s">
        <v>840</v>
      </c>
      <c r="F84" s="297" t="s">
        <v>832</v>
      </c>
      <c r="G84" s="297" t="s">
        <v>841</v>
      </c>
      <c r="H84" s="297" t="s">
        <v>661</v>
      </c>
      <c r="I84" s="381" t="s">
        <v>842</v>
      </c>
      <c r="J84" s="547">
        <v>14900</v>
      </c>
      <c r="K84" s="547">
        <v>10101</v>
      </c>
      <c r="L84" s="546">
        <f>9000+1101</f>
        <v>10101</v>
      </c>
      <c r="M84" s="547">
        <f t="shared" si="50"/>
        <v>10101</v>
      </c>
      <c r="N84" s="545"/>
      <c r="O84" s="546"/>
      <c r="P84" s="547"/>
    </row>
    <row r="85" spans="1:16" s="313" customFormat="1" ht="148.5" customHeight="1">
      <c r="A85" s="297">
        <v>6</v>
      </c>
      <c r="B85" s="281" t="s">
        <v>843</v>
      </c>
      <c r="C85" s="297" t="s">
        <v>89</v>
      </c>
      <c r="D85" s="316">
        <v>7823269</v>
      </c>
      <c r="E85" s="297" t="s">
        <v>823</v>
      </c>
      <c r="F85" s="297" t="s">
        <v>844</v>
      </c>
      <c r="G85" s="297" t="s">
        <v>845</v>
      </c>
      <c r="H85" s="297" t="s">
        <v>661</v>
      </c>
      <c r="I85" s="589" t="s">
        <v>846</v>
      </c>
      <c r="J85" s="547">
        <v>23584</v>
      </c>
      <c r="K85" s="547">
        <v>14000</v>
      </c>
      <c r="L85" s="546">
        <f>8000+3500+2266</f>
        <v>13766</v>
      </c>
      <c r="M85" s="547">
        <f t="shared" si="50"/>
        <v>13766</v>
      </c>
      <c r="N85" s="545"/>
      <c r="O85" s="546"/>
      <c r="P85" s="547"/>
    </row>
    <row r="86" spans="1:16" s="313" customFormat="1" ht="82.5" customHeight="1">
      <c r="A86" s="297">
        <v>7</v>
      </c>
      <c r="B86" s="590" t="s">
        <v>847</v>
      </c>
      <c r="C86" s="297" t="s">
        <v>89</v>
      </c>
      <c r="D86" s="316" t="s">
        <v>848</v>
      </c>
      <c r="E86" s="279" t="s">
        <v>823</v>
      </c>
      <c r="F86" s="297" t="s">
        <v>832</v>
      </c>
      <c r="G86" s="297" t="s">
        <v>849</v>
      </c>
      <c r="H86" s="297" t="s">
        <v>661</v>
      </c>
      <c r="I86" s="589" t="s">
        <v>850</v>
      </c>
      <c r="J86" s="547">
        <v>38800</v>
      </c>
      <c r="K86" s="547">
        <v>34000</v>
      </c>
      <c r="L86" s="546">
        <f>16500+3700+12534</f>
        <v>32734</v>
      </c>
      <c r="M86" s="547">
        <f t="shared" si="50"/>
        <v>32734</v>
      </c>
      <c r="N86" s="545"/>
      <c r="O86" s="546"/>
      <c r="P86" s="547"/>
    </row>
    <row r="87" spans="1:16" s="575" customFormat="1" ht="58.5" customHeight="1">
      <c r="A87" s="581" t="s">
        <v>98</v>
      </c>
      <c r="B87" s="538" t="s">
        <v>685</v>
      </c>
      <c r="C87" s="583"/>
      <c r="D87" s="584"/>
      <c r="E87" s="581"/>
      <c r="F87" s="581"/>
      <c r="G87" s="585"/>
      <c r="H87" s="581"/>
      <c r="I87" s="586"/>
      <c r="J87" s="587">
        <f t="shared" ref="J87:M87" si="51">SUM(J88:J89)</f>
        <v>38729</v>
      </c>
      <c r="K87" s="587">
        <f t="shared" ref="K87" si="52">SUM(K88:K89)</f>
        <v>37900</v>
      </c>
      <c r="L87" s="587">
        <f t="shared" si="51"/>
        <v>37900</v>
      </c>
      <c r="M87" s="587">
        <f t="shared" si="51"/>
        <v>37900</v>
      </c>
      <c r="N87" s="587"/>
      <c r="O87" s="587"/>
      <c r="P87" s="588"/>
    </row>
    <row r="88" spans="1:16" s="575" customFormat="1" ht="105.75" customHeight="1">
      <c r="A88" s="203">
        <v>1</v>
      </c>
      <c r="B88" s="371" t="s">
        <v>851</v>
      </c>
      <c r="C88" s="203" t="s">
        <v>89</v>
      </c>
      <c r="D88" s="591"/>
      <c r="E88" s="279" t="s">
        <v>823</v>
      </c>
      <c r="F88" s="279" t="s">
        <v>852</v>
      </c>
      <c r="G88" s="297" t="s">
        <v>853</v>
      </c>
      <c r="H88" s="297" t="s">
        <v>637</v>
      </c>
      <c r="I88" s="589" t="s">
        <v>854</v>
      </c>
      <c r="J88" s="592">
        <v>9729</v>
      </c>
      <c r="K88" s="547">
        <v>9400</v>
      </c>
      <c r="L88" s="546">
        <f>5900+3500</f>
        <v>9400</v>
      </c>
      <c r="M88" s="547">
        <f>L88</f>
        <v>9400</v>
      </c>
      <c r="N88" s="545"/>
      <c r="O88" s="546"/>
      <c r="P88" s="588"/>
    </row>
    <row r="89" spans="1:16" s="575" customFormat="1" ht="102.75" customHeight="1">
      <c r="A89" s="203">
        <v>2</v>
      </c>
      <c r="B89" s="334" t="s">
        <v>855</v>
      </c>
      <c r="C89" s="203" t="s">
        <v>89</v>
      </c>
      <c r="D89" s="593"/>
      <c r="E89" s="279" t="s">
        <v>823</v>
      </c>
      <c r="F89" s="279" t="s">
        <v>852</v>
      </c>
      <c r="G89" s="278" t="s">
        <v>856</v>
      </c>
      <c r="H89" s="296" t="s">
        <v>673</v>
      </c>
      <c r="I89" s="589" t="s">
        <v>857</v>
      </c>
      <c r="J89" s="545">
        <v>29000</v>
      </c>
      <c r="K89" s="547">
        <v>28500</v>
      </c>
      <c r="L89" s="546">
        <f>3000+2500+23000</f>
        <v>28500</v>
      </c>
      <c r="M89" s="547">
        <f>L89</f>
        <v>28500</v>
      </c>
      <c r="N89" s="545"/>
      <c r="O89" s="546"/>
      <c r="P89" s="561"/>
    </row>
    <row r="90" spans="1:16" s="575" customFormat="1" ht="60" customHeight="1">
      <c r="A90" s="594" t="s">
        <v>167</v>
      </c>
      <c r="B90" s="595" t="s">
        <v>858</v>
      </c>
      <c r="C90" s="594"/>
      <c r="D90" s="584"/>
      <c r="E90" s="584"/>
      <c r="F90" s="584"/>
      <c r="G90" s="584"/>
      <c r="H90" s="584"/>
      <c r="I90" s="584"/>
      <c r="J90" s="596">
        <f t="shared" ref="J90" si="53">J91+J101</f>
        <v>215043</v>
      </c>
      <c r="K90" s="596">
        <f>K91+K101</f>
        <v>159334</v>
      </c>
      <c r="L90" s="596">
        <f t="shared" ref="L90:M90" si="54">L91+L101</f>
        <v>152570</v>
      </c>
      <c r="M90" s="596">
        <f t="shared" si="54"/>
        <v>152570</v>
      </c>
      <c r="N90" s="596"/>
      <c r="O90" s="596"/>
      <c r="P90" s="588"/>
    </row>
    <row r="91" spans="1:16" s="575" customFormat="1" ht="63.75" customHeight="1">
      <c r="A91" s="581" t="s">
        <v>279</v>
      </c>
      <c r="B91" s="538" t="s">
        <v>656</v>
      </c>
      <c r="C91" s="597"/>
      <c r="D91" s="303"/>
      <c r="E91" s="597"/>
      <c r="F91" s="597"/>
      <c r="G91" s="597"/>
      <c r="H91" s="597"/>
      <c r="I91" s="597"/>
      <c r="J91" s="535">
        <f t="shared" ref="J91" si="55">SUM(J92:J100)</f>
        <v>193543</v>
      </c>
      <c r="K91" s="535">
        <f>SUM(K92:K100)</f>
        <v>137834</v>
      </c>
      <c r="L91" s="535">
        <f t="shared" ref="L91:M91" si="56">SUM(L92:L100)</f>
        <v>133035</v>
      </c>
      <c r="M91" s="535">
        <f t="shared" si="56"/>
        <v>133035</v>
      </c>
      <c r="N91" s="535"/>
      <c r="O91" s="535"/>
      <c r="P91" s="588"/>
    </row>
    <row r="92" spans="1:16" s="575" customFormat="1" ht="99" customHeight="1">
      <c r="A92" s="297">
        <v>1</v>
      </c>
      <c r="B92" s="281" t="s">
        <v>859</v>
      </c>
      <c r="C92" s="297" t="s">
        <v>89</v>
      </c>
      <c r="D92" s="316">
        <v>7820037</v>
      </c>
      <c r="E92" s="297" t="s">
        <v>860</v>
      </c>
      <c r="F92" s="297" t="s">
        <v>861</v>
      </c>
      <c r="G92" s="278" t="s">
        <v>862</v>
      </c>
      <c r="H92" s="297" t="s">
        <v>661</v>
      </c>
      <c r="I92" s="316" t="s">
        <v>863</v>
      </c>
      <c r="J92" s="547">
        <v>19950</v>
      </c>
      <c r="K92" s="547">
        <v>13300</v>
      </c>
      <c r="L92" s="546">
        <f>3811+2500+6509</f>
        <v>12820</v>
      </c>
      <c r="M92" s="547">
        <f>L92</f>
        <v>12820</v>
      </c>
      <c r="N92" s="545"/>
      <c r="O92" s="546"/>
      <c r="P92" s="588"/>
    </row>
    <row r="93" spans="1:16" s="575" customFormat="1" ht="99" customHeight="1">
      <c r="A93" s="297">
        <v>2</v>
      </c>
      <c r="B93" s="281" t="s">
        <v>864</v>
      </c>
      <c r="C93" s="297" t="s">
        <v>89</v>
      </c>
      <c r="D93" s="316">
        <v>7810759</v>
      </c>
      <c r="E93" s="297" t="s">
        <v>860</v>
      </c>
      <c r="F93" s="297" t="s">
        <v>865</v>
      </c>
      <c r="G93" s="278" t="s">
        <v>866</v>
      </c>
      <c r="H93" s="297" t="s">
        <v>661</v>
      </c>
      <c r="I93" s="316" t="s">
        <v>867</v>
      </c>
      <c r="J93" s="547">
        <v>25000</v>
      </c>
      <c r="K93" s="547">
        <v>20900</v>
      </c>
      <c r="L93" s="546">
        <f>9000+2500+8869</f>
        <v>20369</v>
      </c>
      <c r="M93" s="547">
        <f>L93</f>
        <v>20369</v>
      </c>
      <c r="N93" s="545"/>
      <c r="O93" s="546"/>
      <c r="P93" s="588"/>
    </row>
    <row r="94" spans="1:16" s="575" customFormat="1" ht="84" customHeight="1">
      <c r="A94" s="297">
        <v>3</v>
      </c>
      <c r="B94" s="281" t="s">
        <v>868</v>
      </c>
      <c r="C94" s="297" t="s">
        <v>89</v>
      </c>
      <c r="D94" s="316">
        <v>7810760</v>
      </c>
      <c r="E94" s="297" t="s">
        <v>860</v>
      </c>
      <c r="F94" s="297" t="s">
        <v>869</v>
      </c>
      <c r="G94" s="278" t="s">
        <v>870</v>
      </c>
      <c r="H94" s="297" t="s">
        <v>661</v>
      </c>
      <c r="I94" s="316" t="s">
        <v>871</v>
      </c>
      <c r="J94" s="547">
        <v>20600</v>
      </c>
      <c r="K94" s="547">
        <v>15000</v>
      </c>
      <c r="L94" s="546">
        <f>5413+3500+4797</f>
        <v>13710</v>
      </c>
      <c r="M94" s="547">
        <f t="shared" ref="M94:M95" si="57">L94</f>
        <v>13710</v>
      </c>
      <c r="N94" s="545"/>
      <c r="O94" s="546"/>
      <c r="P94" s="588"/>
    </row>
    <row r="95" spans="1:16" s="575" customFormat="1" ht="102" customHeight="1">
      <c r="A95" s="297">
        <v>4</v>
      </c>
      <c r="B95" s="281" t="s">
        <v>872</v>
      </c>
      <c r="C95" s="297" t="s">
        <v>89</v>
      </c>
      <c r="D95" s="598" t="s">
        <v>873</v>
      </c>
      <c r="E95" s="297" t="s">
        <v>860</v>
      </c>
      <c r="F95" s="297" t="s">
        <v>869</v>
      </c>
      <c r="G95" s="278" t="s">
        <v>874</v>
      </c>
      <c r="H95" s="297" t="s">
        <v>661</v>
      </c>
      <c r="I95" s="316" t="s">
        <v>875</v>
      </c>
      <c r="J95" s="547">
        <v>9200</v>
      </c>
      <c r="K95" s="547">
        <v>4030</v>
      </c>
      <c r="L95" s="546">
        <v>3991</v>
      </c>
      <c r="M95" s="547">
        <f t="shared" si="57"/>
        <v>3991</v>
      </c>
      <c r="N95" s="545"/>
      <c r="O95" s="546"/>
      <c r="P95" s="588"/>
    </row>
    <row r="96" spans="1:16" s="575" customFormat="1" ht="91.5" customHeight="1">
      <c r="A96" s="297">
        <v>5</v>
      </c>
      <c r="B96" s="281" t="s">
        <v>876</v>
      </c>
      <c r="C96" s="297" t="s">
        <v>89</v>
      </c>
      <c r="D96" s="316">
        <v>7830529</v>
      </c>
      <c r="E96" s="297" t="s">
        <v>860</v>
      </c>
      <c r="F96" s="297" t="s">
        <v>877</v>
      </c>
      <c r="G96" s="278" t="s">
        <v>878</v>
      </c>
      <c r="H96" s="297" t="s">
        <v>661</v>
      </c>
      <c r="I96" s="316" t="s">
        <v>879</v>
      </c>
      <c r="J96" s="547">
        <v>19896</v>
      </c>
      <c r="K96" s="547">
        <v>11804</v>
      </c>
      <c r="L96" s="546">
        <f>7700+3000+972</f>
        <v>11672</v>
      </c>
      <c r="M96" s="547">
        <f>L96</f>
        <v>11672</v>
      </c>
      <c r="N96" s="545"/>
      <c r="O96" s="546"/>
      <c r="P96" s="588"/>
    </row>
    <row r="97" spans="1:16" s="575" customFormat="1" ht="93" customHeight="1">
      <c r="A97" s="297">
        <v>6</v>
      </c>
      <c r="B97" s="281" t="s">
        <v>880</v>
      </c>
      <c r="C97" s="297" t="s">
        <v>89</v>
      </c>
      <c r="D97" s="316">
        <v>7830537</v>
      </c>
      <c r="E97" s="297" t="s">
        <v>860</v>
      </c>
      <c r="F97" s="297" t="s">
        <v>877</v>
      </c>
      <c r="G97" s="278" t="s">
        <v>881</v>
      </c>
      <c r="H97" s="297" t="s">
        <v>661</v>
      </c>
      <c r="I97" s="316" t="s">
        <v>882</v>
      </c>
      <c r="J97" s="547">
        <v>24600</v>
      </c>
      <c r="K97" s="547">
        <v>18000</v>
      </c>
      <c r="L97" s="546">
        <f>5984+2500+9556</f>
        <v>18040</v>
      </c>
      <c r="M97" s="547">
        <f t="shared" ref="M97:M100" si="58">L97</f>
        <v>18040</v>
      </c>
      <c r="N97" s="545"/>
      <c r="O97" s="546"/>
      <c r="P97" s="588"/>
    </row>
    <row r="98" spans="1:16" s="575" customFormat="1" ht="84.75" customHeight="1">
      <c r="A98" s="297">
        <v>7</v>
      </c>
      <c r="B98" s="281" t="s">
        <v>883</v>
      </c>
      <c r="C98" s="297" t="s">
        <v>89</v>
      </c>
      <c r="D98" s="316">
        <v>7830534</v>
      </c>
      <c r="E98" s="297" t="s">
        <v>860</v>
      </c>
      <c r="F98" s="297" t="s">
        <v>877</v>
      </c>
      <c r="G98" s="278" t="s">
        <v>884</v>
      </c>
      <c r="H98" s="297" t="s">
        <v>661</v>
      </c>
      <c r="I98" s="297" t="s">
        <v>885</v>
      </c>
      <c r="J98" s="547">
        <v>27200</v>
      </c>
      <c r="K98" s="547">
        <v>22400</v>
      </c>
      <c r="L98" s="546">
        <f>6717+2500+12451</f>
        <v>21668</v>
      </c>
      <c r="M98" s="547">
        <f t="shared" si="58"/>
        <v>21668</v>
      </c>
      <c r="N98" s="545"/>
      <c r="O98" s="546"/>
      <c r="P98" s="588"/>
    </row>
    <row r="99" spans="1:16" s="575" customFormat="1" ht="81" customHeight="1">
      <c r="A99" s="297">
        <v>8</v>
      </c>
      <c r="B99" s="281" t="s">
        <v>886</v>
      </c>
      <c r="C99" s="297" t="s">
        <v>89</v>
      </c>
      <c r="D99" s="598" t="s">
        <v>887</v>
      </c>
      <c r="E99" s="297" t="s">
        <v>860</v>
      </c>
      <c r="F99" s="297" t="s">
        <v>888</v>
      </c>
      <c r="G99" s="278" t="s">
        <v>889</v>
      </c>
      <c r="H99" s="297" t="s">
        <v>661</v>
      </c>
      <c r="I99" s="297" t="s">
        <v>871</v>
      </c>
      <c r="J99" s="547">
        <v>20097</v>
      </c>
      <c r="K99" s="547">
        <v>13400</v>
      </c>
      <c r="L99" s="546">
        <f>4286+3000+5361</f>
        <v>12647</v>
      </c>
      <c r="M99" s="547">
        <f t="shared" si="58"/>
        <v>12647</v>
      </c>
      <c r="N99" s="545"/>
      <c r="O99" s="546"/>
      <c r="P99" s="588"/>
    </row>
    <row r="100" spans="1:16" s="575" customFormat="1" ht="84.75" customHeight="1">
      <c r="A100" s="297">
        <v>9</v>
      </c>
      <c r="B100" s="281" t="s">
        <v>890</v>
      </c>
      <c r="C100" s="297" t="s">
        <v>89</v>
      </c>
      <c r="D100" s="598" t="s">
        <v>891</v>
      </c>
      <c r="E100" s="297" t="s">
        <v>860</v>
      </c>
      <c r="F100" s="297" t="s">
        <v>888</v>
      </c>
      <c r="G100" s="278" t="s">
        <v>892</v>
      </c>
      <c r="H100" s="297" t="s">
        <v>661</v>
      </c>
      <c r="I100" s="297" t="s">
        <v>893</v>
      </c>
      <c r="J100" s="547">
        <v>27000</v>
      </c>
      <c r="K100" s="547">
        <v>19000</v>
      </c>
      <c r="L100" s="546">
        <f>4824+2500+10794</f>
        <v>18118</v>
      </c>
      <c r="M100" s="547">
        <f t="shared" si="58"/>
        <v>18118</v>
      </c>
      <c r="N100" s="545"/>
      <c r="O100" s="546"/>
      <c r="P100" s="588"/>
    </row>
    <row r="101" spans="1:16" s="575" customFormat="1" ht="59.25" customHeight="1">
      <c r="A101" s="594" t="s">
        <v>98</v>
      </c>
      <c r="B101" s="538" t="s">
        <v>685</v>
      </c>
      <c r="C101" s="597"/>
      <c r="D101" s="303"/>
      <c r="E101" s="597"/>
      <c r="F101" s="597"/>
      <c r="G101" s="597"/>
      <c r="H101" s="597"/>
      <c r="I101" s="597"/>
      <c r="J101" s="596">
        <f t="shared" ref="J101:M101" si="59">SUM(J102:J102)</f>
        <v>21500</v>
      </c>
      <c r="K101" s="596">
        <f t="shared" si="59"/>
        <v>21500</v>
      </c>
      <c r="L101" s="596">
        <f t="shared" si="59"/>
        <v>19535</v>
      </c>
      <c r="M101" s="596">
        <f t="shared" si="59"/>
        <v>19535</v>
      </c>
      <c r="N101" s="596"/>
      <c r="O101" s="596"/>
      <c r="P101" s="588"/>
    </row>
    <row r="102" spans="1:16" s="575" customFormat="1" ht="81" customHeight="1">
      <c r="A102" s="203">
        <v>1</v>
      </c>
      <c r="B102" s="281" t="s">
        <v>894</v>
      </c>
      <c r="C102" s="203" t="s">
        <v>89</v>
      </c>
      <c r="D102" s="203"/>
      <c r="E102" s="279" t="s">
        <v>860</v>
      </c>
      <c r="F102" s="203" t="s">
        <v>895</v>
      </c>
      <c r="G102" s="278" t="s">
        <v>896</v>
      </c>
      <c r="H102" s="297" t="s">
        <v>673</v>
      </c>
      <c r="I102" s="297" t="s">
        <v>897</v>
      </c>
      <c r="J102" s="546">
        <v>21500</v>
      </c>
      <c r="K102" s="546">
        <v>21500</v>
      </c>
      <c r="L102" s="546">
        <f>5900+2500+11135</f>
        <v>19535</v>
      </c>
      <c r="M102" s="546">
        <f>L102</f>
        <v>19535</v>
      </c>
      <c r="N102" s="545"/>
      <c r="O102" s="546"/>
      <c r="P102" s="381"/>
    </row>
    <row r="103" spans="1:16" s="575" customFormat="1" ht="69" customHeight="1">
      <c r="A103" s="594" t="s">
        <v>169</v>
      </c>
      <c r="B103" s="532" t="s">
        <v>898</v>
      </c>
      <c r="C103" s="203"/>
      <c r="D103" s="203"/>
      <c r="E103" s="203"/>
      <c r="F103" s="203"/>
      <c r="G103" s="278"/>
      <c r="H103" s="203"/>
      <c r="I103" s="203"/>
      <c r="J103" s="596">
        <f t="shared" ref="J103" si="60">J104+J112</f>
        <v>218310</v>
      </c>
      <c r="K103" s="596">
        <f>K104+K112</f>
        <v>153999</v>
      </c>
      <c r="L103" s="596">
        <f t="shared" ref="L103:M103" si="61">L104+L112</f>
        <v>151808</v>
      </c>
      <c r="M103" s="596">
        <f t="shared" si="61"/>
        <v>151808</v>
      </c>
      <c r="N103" s="596"/>
      <c r="O103" s="596"/>
      <c r="P103" s="588"/>
    </row>
    <row r="104" spans="1:16" s="575" customFormat="1" ht="59.25" customHeight="1">
      <c r="A104" s="581" t="s">
        <v>279</v>
      </c>
      <c r="B104" s="538" t="s">
        <v>656</v>
      </c>
      <c r="C104" s="203"/>
      <c r="D104" s="203"/>
      <c r="E104" s="203"/>
      <c r="F104" s="203"/>
      <c r="G104" s="278"/>
      <c r="H104" s="203"/>
      <c r="I104" s="203"/>
      <c r="J104" s="596">
        <f t="shared" ref="J104" si="62">SUM(J105:J111)</f>
        <v>183312</v>
      </c>
      <c r="K104" s="596">
        <f>SUM(K105:K111)</f>
        <v>119914</v>
      </c>
      <c r="L104" s="596">
        <f t="shared" ref="L104:M104" si="63">SUM(L105:L111)</f>
        <v>119883</v>
      </c>
      <c r="M104" s="596">
        <f t="shared" si="63"/>
        <v>119883</v>
      </c>
      <c r="N104" s="596"/>
      <c r="O104" s="596"/>
      <c r="P104" s="588"/>
    </row>
    <row r="105" spans="1:16" s="575" customFormat="1" ht="100.5" customHeight="1">
      <c r="A105" s="297">
        <v>1</v>
      </c>
      <c r="B105" s="281" t="s">
        <v>899</v>
      </c>
      <c r="C105" s="297" t="s">
        <v>89</v>
      </c>
      <c r="D105" s="316">
        <v>7751047</v>
      </c>
      <c r="E105" s="381" t="s">
        <v>634</v>
      </c>
      <c r="F105" s="297" t="s">
        <v>900</v>
      </c>
      <c r="G105" s="278" t="s">
        <v>901</v>
      </c>
      <c r="H105" s="297" t="s">
        <v>661</v>
      </c>
      <c r="I105" s="381" t="s">
        <v>902</v>
      </c>
      <c r="J105" s="547">
        <v>19994</v>
      </c>
      <c r="K105" s="545">
        <v>9749</v>
      </c>
      <c r="L105" s="546">
        <f>3000+6649+69</f>
        <v>9718</v>
      </c>
      <c r="M105" s="545">
        <f>L105</f>
        <v>9718</v>
      </c>
      <c r="N105" s="545"/>
      <c r="O105" s="546"/>
      <c r="P105" s="588"/>
    </row>
    <row r="106" spans="1:16" s="575" customFormat="1" ht="99.75" customHeight="1">
      <c r="A106" s="297">
        <v>2</v>
      </c>
      <c r="B106" s="281" t="s">
        <v>903</v>
      </c>
      <c r="C106" s="297" t="s">
        <v>89</v>
      </c>
      <c r="D106" s="316">
        <v>7763747</v>
      </c>
      <c r="E106" s="381" t="s">
        <v>634</v>
      </c>
      <c r="F106" s="297" t="s">
        <v>904</v>
      </c>
      <c r="G106" s="278" t="s">
        <v>905</v>
      </c>
      <c r="H106" s="297" t="s">
        <v>661</v>
      </c>
      <c r="I106" s="381" t="s">
        <v>906</v>
      </c>
      <c r="J106" s="547">
        <v>20992</v>
      </c>
      <c r="K106" s="545">
        <v>13371</v>
      </c>
      <c r="L106" s="546">
        <f>5936+7435</f>
        <v>13371</v>
      </c>
      <c r="M106" s="545">
        <f t="shared" ref="M106:M111" si="64">L106</f>
        <v>13371</v>
      </c>
      <c r="N106" s="545"/>
      <c r="O106" s="546"/>
      <c r="P106" s="588"/>
    </row>
    <row r="107" spans="1:16" s="575" customFormat="1" ht="95.25" customHeight="1">
      <c r="A107" s="297">
        <v>3</v>
      </c>
      <c r="B107" s="281" t="s">
        <v>907</v>
      </c>
      <c r="C107" s="297" t="s">
        <v>89</v>
      </c>
      <c r="D107" s="316">
        <v>7763720</v>
      </c>
      <c r="E107" s="381" t="s">
        <v>634</v>
      </c>
      <c r="F107" s="297" t="s">
        <v>908</v>
      </c>
      <c r="G107" s="278" t="s">
        <v>909</v>
      </c>
      <c r="H107" s="297" t="s">
        <v>661</v>
      </c>
      <c r="I107" s="381" t="s">
        <v>910</v>
      </c>
      <c r="J107" s="547">
        <v>22990</v>
      </c>
      <c r="K107" s="545">
        <v>16842</v>
      </c>
      <c r="L107" s="546">
        <f>6433+10409</f>
        <v>16842</v>
      </c>
      <c r="M107" s="545">
        <f t="shared" si="64"/>
        <v>16842</v>
      </c>
      <c r="N107" s="545"/>
      <c r="O107" s="546"/>
      <c r="P107" s="588"/>
    </row>
    <row r="108" spans="1:16" s="575" customFormat="1" ht="95.25" customHeight="1">
      <c r="A108" s="297">
        <v>4</v>
      </c>
      <c r="B108" s="281" t="s">
        <v>911</v>
      </c>
      <c r="C108" s="297" t="s">
        <v>89</v>
      </c>
      <c r="D108" s="316">
        <v>7765327</v>
      </c>
      <c r="E108" s="381" t="s">
        <v>634</v>
      </c>
      <c r="F108" s="297" t="s">
        <v>895</v>
      </c>
      <c r="G108" s="278" t="s">
        <v>912</v>
      </c>
      <c r="H108" s="297" t="s">
        <v>661</v>
      </c>
      <c r="I108" s="381" t="s">
        <v>913</v>
      </c>
      <c r="J108" s="547">
        <v>29914</v>
      </c>
      <c r="K108" s="545">
        <v>20947</v>
      </c>
      <c r="L108" s="546">
        <f>5391+10793+4763</f>
        <v>20947</v>
      </c>
      <c r="M108" s="545">
        <f t="shared" si="64"/>
        <v>20947</v>
      </c>
      <c r="N108" s="545"/>
      <c r="O108" s="546"/>
      <c r="P108" s="588"/>
    </row>
    <row r="109" spans="1:16" s="575" customFormat="1" ht="102.75" customHeight="1">
      <c r="A109" s="297">
        <v>5</v>
      </c>
      <c r="B109" s="281" t="s">
        <v>914</v>
      </c>
      <c r="C109" s="297" t="s">
        <v>89</v>
      </c>
      <c r="D109" s="599" t="s">
        <v>915</v>
      </c>
      <c r="E109" s="381" t="s">
        <v>634</v>
      </c>
      <c r="F109" s="297" t="s">
        <v>895</v>
      </c>
      <c r="G109" s="297" t="s">
        <v>916</v>
      </c>
      <c r="H109" s="297" t="s">
        <v>661</v>
      </c>
      <c r="I109" s="381" t="s">
        <v>913</v>
      </c>
      <c r="J109" s="547">
        <v>29962</v>
      </c>
      <c r="K109" s="545">
        <v>21298</v>
      </c>
      <c r="L109" s="546">
        <f>9206+8545+3547</f>
        <v>21298</v>
      </c>
      <c r="M109" s="545">
        <f t="shared" si="64"/>
        <v>21298</v>
      </c>
      <c r="N109" s="545"/>
      <c r="O109" s="546"/>
      <c r="P109" s="588"/>
    </row>
    <row r="110" spans="1:16" s="575" customFormat="1" ht="93.75" customHeight="1">
      <c r="A110" s="297">
        <v>6</v>
      </c>
      <c r="B110" s="281" t="s">
        <v>917</v>
      </c>
      <c r="C110" s="297" t="s">
        <v>89</v>
      </c>
      <c r="D110" s="316">
        <v>7763722</v>
      </c>
      <c r="E110" s="381" t="s">
        <v>634</v>
      </c>
      <c r="F110" s="297" t="s">
        <v>918</v>
      </c>
      <c r="G110" s="297" t="s">
        <v>919</v>
      </c>
      <c r="H110" s="297" t="s">
        <v>661</v>
      </c>
      <c r="I110" s="381" t="s">
        <v>920</v>
      </c>
      <c r="J110" s="547">
        <v>29500</v>
      </c>
      <c r="K110" s="545">
        <v>19881</v>
      </c>
      <c r="L110" s="546">
        <f>8000+9631+2250</f>
        <v>19881</v>
      </c>
      <c r="M110" s="545">
        <f t="shared" si="64"/>
        <v>19881</v>
      </c>
      <c r="N110" s="545"/>
      <c r="O110" s="546"/>
      <c r="P110" s="588"/>
    </row>
    <row r="111" spans="1:16" s="575" customFormat="1" ht="100.5" customHeight="1">
      <c r="A111" s="297">
        <v>7</v>
      </c>
      <c r="B111" s="281" t="s">
        <v>921</v>
      </c>
      <c r="C111" s="297" t="s">
        <v>89</v>
      </c>
      <c r="D111" s="316">
        <v>7763721</v>
      </c>
      <c r="E111" s="381" t="s">
        <v>634</v>
      </c>
      <c r="F111" s="297" t="s">
        <v>922</v>
      </c>
      <c r="G111" s="297" t="s">
        <v>923</v>
      </c>
      <c r="H111" s="297" t="s">
        <v>661</v>
      </c>
      <c r="I111" s="381" t="s">
        <v>924</v>
      </c>
      <c r="J111" s="547">
        <v>29960</v>
      </c>
      <c r="K111" s="545">
        <v>17826</v>
      </c>
      <c r="L111" s="546">
        <f>4400+6792+6634</f>
        <v>17826</v>
      </c>
      <c r="M111" s="545">
        <f t="shared" si="64"/>
        <v>17826</v>
      </c>
      <c r="N111" s="545"/>
      <c r="O111" s="546"/>
      <c r="P111" s="588"/>
    </row>
    <row r="112" spans="1:16" s="575" customFormat="1" ht="59.25" customHeight="1">
      <c r="A112" s="594" t="s">
        <v>98</v>
      </c>
      <c r="B112" s="538" t="s">
        <v>925</v>
      </c>
      <c r="C112" s="597"/>
      <c r="D112" s="303"/>
      <c r="E112" s="597"/>
      <c r="F112" s="597"/>
      <c r="G112" s="597"/>
      <c r="H112" s="597"/>
      <c r="I112" s="597"/>
      <c r="J112" s="596">
        <f t="shared" ref="J112:M112" si="65">SUM(J113:J113)</f>
        <v>34998</v>
      </c>
      <c r="K112" s="596">
        <f t="shared" si="65"/>
        <v>34085</v>
      </c>
      <c r="L112" s="596">
        <f t="shared" si="65"/>
        <v>31925</v>
      </c>
      <c r="M112" s="596">
        <f t="shared" si="65"/>
        <v>31925</v>
      </c>
      <c r="N112" s="596"/>
      <c r="O112" s="596"/>
      <c r="P112" s="588"/>
    </row>
    <row r="113" spans="1:16" s="284" customFormat="1" ht="91.5" customHeight="1">
      <c r="A113" s="297">
        <v>1</v>
      </c>
      <c r="B113" s="281" t="s">
        <v>926</v>
      </c>
      <c r="C113" s="203" t="s">
        <v>89</v>
      </c>
      <c r="D113" s="468"/>
      <c r="E113" s="381" t="s">
        <v>634</v>
      </c>
      <c r="F113" s="297" t="s">
        <v>927</v>
      </c>
      <c r="G113" s="297" t="s">
        <v>928</v>
      </c>
      <c r="H113" s="203" t="s">
        <v>673</v>
      </c>
      <c r="I113" s="381" t="s">
        <v>483</v>
      </c>
      <c r="J113" s="546">
        <v>34998</v>
      </c>
      <c r="K113" s="546">
        <v>34085</v>
      </c>
      <c r="L113" s="546">
        <f>2500+4785+24640</f>
        <v>31925</v>
      </c>
      <c r="M113" s="546">
        <f>L113</f>
        <v>31925</v>
      </c>
      <c r="N113" s="546"/>
      <c r="O113" s="546"/>
      <c r="P113" s="381"/>
    </row>
  </sheetData>
  <mergeCells count="21">
    <mergeCell ref="L5:L7"/>
    <mergeCell ref="M5:O5"/>
    <mergeCell ref="M6:M7"/>
    <mergeCell ref="N6:O6"/>
    <mergeCell ref="A1:P1"/>
    <mergeCell ref="A2:P2"/>
    <mergeCell ref="A3:P3"/>
    <mergeCell ref="A4:P4"/>
    <mergeCell ref="I5:J5"/>
    <mergeCell ref="P5:P7"/>
    <mergeCell ref="A5:A7"/>
    <mergeCell ref="B5:B7"/>
    <mergeCell ref="C5:C7"/>
    <mergeCell ref="D5:D7"/>
    <mergeCell ref="E5:E7"/>
    <mergeCell ref="F5:F7"/>
    <mergeCell ref="G5:G7"/>
    <mergeCell ref="H5:H7"/>
    <mergeCell ref="I6:I7"/>
    <mergeCell ref="J6:J7"/>
    <mergeCell ref="K5:K7"/>
  </mergeCells>
  <printOptions horizontalCentered="1"/>
  <pageMargins left="0" right="0" top="0.5" bottom="0.5" header="0.3" footer="0.3"/>
  <pageSetup paperSize="9" scale="44" orientation="landscape" r:id="rId1"/>
  <headerFooter differentFirst="1">
    <oddHeader>&amp;C&amp;P</oddHead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245"/>
  <sheetViews>
    <sheetView topLeftCell="C1" zoomScale="60" zoomScaleNormal="60" workbookViewId="0">
      <selection activeCell="O244" sqref="O244"/>
    </sheetView>
  </sheetViews>
  <sheetFormatPr defaultColWidth="9.140625" defaultRowHeight="38.25" customHeight="1"/>
  <cols>
    <col min="1" max="1" width="6.85546875" style="883" customWidth="1"/>
    <col min="2" max="2" width="62.140625" style="919" customWidth="1"/>
    <col min="3" max="3" width="13" style="919" customWidth="1"/>
    <col min="4" max="4" width="16.85546875" style="883" customWidth="1"/>
    <col min="5" max="5" width="16.28515625" style="883" customWidth="1"/>
    <col min="6" max="6" width="14.140625" style="883" customWidth="1"/>
    <col min="7" max="7" width="24.85546875" style="883" customWidth="1"/>
    <col min="8" max="8" width="14.28515625" style="883" customWidth="1"/>
    <col min="9" max="9" width="22.85546875" style="883" customWidth="1"/>
    <col min="10" max="11" width="17.5703125" style="1196" customWidth="1"/>
    <col min="12" max="12" width="21.5703125" style="1192" customWidth="1"/>
    <col min="13" max="13" width="16.7109375" style="1192" customWidth="1"/>
    <col min="14" max="14" width="20.7109375" style="1192" customWidth="1"/>
    <col min="15" max="16" width="17.5703125" style="1192" customWidth="1"/>
    <col min="17" max="17" width="31.28515625" style="883" customWidth="1"/>
    <col min="18" max="18" width="19.5703125" style="1189" customWidth="1"/>
    <col min="19" max="19" width="24.85546875" style="919" customWidth="1"/>
    <col min="20" max="26" width="9.140625" style="919" customWidth="1"/>
    <col min="27" max="27" width="15.7109375" style="919" customWidth="1"/>
    <col min="28" max="16384" width="9.140625" style="919"/>
  </cols>
  <sheetData>
    <row r="1" spans="1:27" ht="27.75" customHeight="1">
      <c r="A1" s="1391" t="s">
        <v>2962</v>
      </c>
      <c r="B1" s="1391"/>
      <c r="C1" s="1391"/>
      <c r="D1" s="1391"/>
      <c r="E1" s="1391"/>
      <c r="F1" s="1391"/>
      <c r="G1" s="1391"/>
      <c r="H1" s="1391"/>
      <c r="I1" s="1391"/>
      <c r="J1" s="1391"/>
      <c r="K1" s="1391"/>
      <c r="L1" s="1391"/>
      <c r="M1" s="1391"/>
      <c r="N1" s="1391"/>
      <c r="O1" s="1391"/>
      <c r="P1" s="1391"/>
      <c r="Q1" s="1391"/>
      <c r="R1" s="1070"/>
    </row>
    <row r="2" spans="1:27" ht="48.75" customHeight="1">
      <c r="A2" s="1391" t="s">
        <v>2965</v>
      </c>
      <c r="B2" s="1391"/>
      <c r="C2" s="1391"/>
      <c r="D2" s="1391"/>
      <c r="E2" s="1391"/>
      <c r="F2" s="1391"/>
      <c r="G2" s="1391"/>
      <c r="H2" s="1391"/>
      <c r="I2" s="1391"/>
      <c r="J2" s="1391"/>
      <c r="K2" s="1391"/>
      <c r="L2" s="1391"/>
      <c r="M2" s="1391"/>
      <c r="N2" s="1391"/>
      <c r="O2" s="1391"/>
      <c r="P2" s="1391"/>
      <c r="Q2" s="1391"/>
      <c r="R2" s="1070"/>
    </row>
    <row r="3" spans="1:27" ht="28.5" customHeight="1">
      <c r="A3" s="1392" t="s">
        <v>2963</v>
      </c>
      <c r="B3" s="1392"/>
      <c r="C3" s="1392"/>
      <c r="D3" s="1392"/>
      <c r="E3" s="1392"/>
      <c r="F3" s="1392"/>
      <c r="G3" s="1392"/>
      <c r="H3" s="1392"/>
      <c r="I3" s="1392"/>
      <c r="J3" s="1392"/>
      <c r="K3" s="1392"/>
      <c r="L3" s="1392"/>
      <c r="M3" s="1392"/>
      <c r="N3" s="1392"/>
      <c r="O3" s="1392"/>
      <c r="P3" s="1392"/>
      <c r="Q3" s="1392"/>
      <c r="R3" s="1071"/>
    </row>
    <row r="4" spans="1:27" ht="38.25" customHeight="1">
      <c r="A4" s="876"/>
      <c r="B4" s="877"/>
      <c r="C4" s="877"/>
      <c r="D4" s="878"/>
      <c r="E4" s="878"/>
      <c r="F4" s="878"/>
      <c r="G4" s="878"/>
      <c r="H4" s="878"/>
      <c r="I4" s="879"/>
      <c r="J4" s="880"/>
      <c r="K4" s="1393" t="s">
        <v>959</v>
      </c>
      <c r="L4" s="1393"/>
      <c r="M4" s="1393"/>
      <c r="N4" s="1393"/>
      <c r="O4" s="1393"/>
      <c r="P4" s="1393"/>
      <c r="Q4" s="1393"/>
      <c r="R4" s="881"/>
    </row>
    <row r="5" spans="1:27" s="883" customFormat="1" ht="61.5" customHeight="1">
      <c r="A5" s="1384" t="s">
        <v>7</v>
      </c>
      <c r="B5" s="1384" t="s">
        <v>1229</v>
      </c>
      <c r="C5" s="1384" t="s">
        <v>626</v>
      </c>
      <c r="D5" s="1384" t="s">
        <v>606</v>
      </c>
      <c r="E5" s="1384" t="s">
        <v>1230</v>
      </c>
      <c r="F5" s="1384" t="s">
        <v>1231</v>
      </c>
      <c r="G5" s="1384" t="s">
        <v>215</v>
      </c>
      <c r="H5" s="1384" t="s">
        <v>1233</v>
      </c>
      <c r="I5" s="1378" t="s">
        <v>174</v>
      </c>
      <c r="J5" s="1378"/>
      <c r="K5" s="1378"/>
      <c r="L5" s="1381" t="s">
        <v>3243</v>
      </c>
      <c r="M5" s="1378" t="s">
        <v>2236</v>
      </c>
      <c r="N5" s="1378" t="s">
        <v>1847</v>
      </c>
      <c r="O5" s="1378"/>
      <c r="P5" s="1378"/>
      <c r="Q5" s="1387" t="s">
        <v>2237</v>
      </c>
      <c r="R5" s="898"/>
    </row>
    <row r="6" spans="1:27" s="883" customFormat="1" ht="34.5" customHeight="1">
      <c r="A6" s="1385"/>
      <c r="B6" s="1385"/>
      <c r="C6" s="1385"/>
      <c r="D6" s="1385"/>
      <c r="E6" s="1385"/>
      <c r="F6" s="1385"/>
      <c r="G6" s="1385"/>
      <c r="H6" s="1385"/>
      <c r="I6" s="1388" t="s">
        <v>1234</v>
      </c>
      <c r="J6" s="1381" t="s">
        <v>1235</v>
      </c>
      <c r="K6" s="1381" t="s">
        <v>2419</v>
      </c>
      <c r="L6" s="1382"/>
      <c r="M6" s="1378"/>
      <c r="N6" s="1378" t="s">
        <v>2420</v>
      </c>
      <c r="O6" s="1378" t="s">
        <v>82</v>
      </c>
      <c r="P6" s="1378"/>
      <c r="Q6" s="1387"/>
      <c r="R6" s="898"/>
    </row>
    <row r="7" spans="1:27" s="883" customFormat="1" ht="57" customHeight="1">
      <c r="A7" s="1386"/>
      <c r="B7" s="1386"/>
      <c r="C7" s="1386"/>
      <c r="D7" s="1386"/>
      <c r="E7" s="1386"/>
      <c r="F7" s="1386"/>
      <c r="G7" s="1386"/>
      <c r="H7" s="1386"/>
      <c r="I7" s="1389"/>
      <c r="J7" s="1390"/>
      <c r="K7" s="1390"/>
      <c r="L7" s="1383"/>
      <c r="M7" s="1378"/>
      <c r="N7" s="1378"/>
      <c r="O7" s="1078" t="s">
        <v>1146</v>
      </c>
      <c r="P7" s="1078" t="s">
        <v>1147</v>
      </c>
      <c r="Q7" s="1387"/>
      <c r="R7" s="898"/>
    </row>
    <row r="8" spans="1:27" s="886" customFormat="1" ht="33.75" customHeight="1">
      <c r="A8" s="884">
        <v>1</v>
      </c>
      <c r="B8" s="884">
        <v>2</v>
      </c>
      <c r="C8" s="884">
        <v>3</v>
      </c>
      <c r="D8" s="884">
        <v>4</v>
      </c>
      <c r="E8" s="884">
        <v>5</v>
      </c>
      <c r="F8" s="884">
        <v>6</v>
      </c>
      <c r="G8" s="884">
        <v>7</v>
      </c>
      <c r="H8" s="884">
        <v>8</v>
      </c>
      <c r="I8" s="884">
        <v>9</v>
      </c>
      <c r="J8" s="884">
        <v>10</v>
      </c>
      <c r="K8" s="884">
        <v>11</v>
      </c>
      <c r="L8" s="884">
        <v>13</v>
      </c>
      <c r="M8" s="884">
        <v>14</v>
      </c>
      <c r="N8" s="884">
        <v>15</v>
      </c>
      <c r="O8" s="884">
        <v>16</v>
      </c>
      <c r="P8" s="884">
        <v>17</v>
      </c>
      <c r="Q8" s="884">
        <v>18</v>
      </c>
      <c r="R8" s="885"/>
    </row>
    <row r="9" spans="1:27" s="893" customFormat="1" ht="46.5" customHeight="1">
      <c r="A9" s="887"/>
      <c r="B9" s="887" t="s">
        <v>980</v>
      </c>
      <c r="C9" s="887"/>
      <c r="D9" s="887"/>
      <c r="E9" s="887"/>
      <c r="F9" s="887"/>
      <c r="G9" s="887"/>
      <c r="H9" s="887"/>
      <c r="I9" s="888"/>
      <c r="J9" s="889">
        <f t="shared" ref="J9:P9" si="0">J10+J39+J57+J82+J95+J149+J172+J183+J232+J243</f>
        <v>1423238.5886979999</v>
      </c>
      <c r="K9" s="889">
        <f t="shared" si="0"/>
        <v>1021655.3720886</v>
      </c>
      <c r="L9" s="889">
        <f t="shared" si="0"/>
        <v>873080</v>
      </c>
      <c r="M9" s="889">
        <f t="shared" si="0"/>
        <v>652325</v>
      </c>
      <c r="N9" s="889">
        <f t="shared" si="0"/>
        <v>873080</v>
      </c>
      <c r="O9" s="889">
        <f t="shared" si="0"/>
        <v>50966</v>
      </c>
      <c r="P9" s="889">
        <f t="shared" si="0"/>
        <v>50965.8</v>
      </c>
      <c r="Q9" s="890"/>
      <c r="R9" s="891"/>
      <c r="S9" s="892">
        <f>L9-M9</f>
        <v>220755</v>
      </c>
      <c r="AA9" s="893">
        <v>220755</v>
      </c>
    </row>
    <row r="10" spans="1:27" s="883" customFormat="1" ht="39.75" customHeight="1">
      <c r="A10" s="894" t="s">
        <v>95</v>
      </c>
      <c r="B10" s="895" t="s">
        <v>1236</v>
      </c>
      <c r="C10" s="894"/>
      <c r="D10" s="894"/>
      <c r="E10" s="894"/>
      <c r="F10" s="894"/>
      <c r="G10" s="894"/>
      <c r="H10" s="894"/>
      <c r="I10" s="896"/>
      <c r="J10" s="897">
        <f>J11</f>
        <v>60498.700000000004</v>
      </c>
      <c r="K10" s="897">
        <f t="shared" ref="K10:P10" si="1">K11</f>
        <v>35874.729999999996</v>
      </c>
      <c r="L10" s="897">
        <f t="shared" si="1"/>
        <v>30460</v>
      </c>
      <c r="M10" s="897">
        <f t="shared" si="1"/>
        <v>5450</v>
      </c>
      <c r="N10" s="897">
        <f t="shared" si="1"/>
        <v>30460</v>
      </c>
      <c r="O10" s="897">
        <f t="shared" si="1"/>
        <v>3860</v>
      </c>
      <c r="P10" s="897">
        <f t="shared" si="1"/>
        <v>3860</v>
      </c>
      <c r="Q10" s="894"/>
      <c r="R10" s="898"/>
      <c r="S10" s="899">
        <f>P9-O9</f>
        <v>-0.19999999999708962</v>
      </c>
      <c r="T10" s="897">
        <f t="shared" ref="T10:U10" si="2">SUM(T12:T35)</f>
        <v>0</v>
      </c>
      <c r="U10" s="897">
        <f t="shared" si="2"/>
        <v>3860.3700000000008</v>
      </c>
      <c r="V10" s="495"/>
    </row>
    <row r="11" spans="1:27" s="883" customFormat="1" ht="48.75" customHeight="1">
      <c r="A11" s="894" t="s">
        <v>279</v>
      </c>
      <c r="B11" s="900" t="s">
        <v>685</v>
      </c>
      <c r="C11" s="894"/>
      <c r="D11" s="894"/>
      <c r="E11" s="894"/>
      <c r="F11" s="894"/>
      <c r="G11" s="894"/>
      <c r="H11" s="894"/>
      <c r="I11" s="896"/>
      <c r="J11" s="897">
        <f t="shared" ref="J11:K11" si="3">SUM(J12:J38)</f>
        <v>60498.700000000004</v>
      </c>
      <c r="K11" s="897">
        <f t="shared" si="3"/>
        <v>35874.729999999996</v>
      </c>
      <c r="L11" s="897">
        <f>SUM(L12:L38)</f>
        <v>30460</v>
      </c>
      <c r="M11" s="897">
        <f t="shared" ref="M11:P11" si="4">SUM(M12:M38)</f>
        <v>5450</v>
      </c>
      <c r="N11" s="897">
        <f t="shared" si="4"/>
        <v>30460</v>
      </c>
      <c r="O11" s="897">
        <f t="shared" si="4"/>
        <v>3860</v>
      </c>
      <c r="P11" s="897">
        <f t="shared" si="4"/>
        <v>3860</v>
      </c>
      <c r="Q11" s="901"/>
      <c r="R11" s="902"/>
      <c r="S11" s="899"/>
      <c r="T11" s="897"/>
      <c r="U11" s="897"/>
      <c r="V11" s="495"/>
    </row>
    <row r="12" spans="1:27" s="908" customFormat="1" ht="57" customHeight="1">
      <c r="A12" s="495">
        <v>1</v>
      </c>
      <c r="B12" s="903" t="s">
        <v>2421</v>
      </c>
      <c r="C12" s="495" t="s">
        <v>89</v>
      </c>
      <c r="D12" s="495"/>
      <c r="E12" s="495" t="s">
        <v>960</v>
      </c>
      <c r="F12" s="495" t="s">
        <v>2422</v>
      </c>
      <c r="G12" s="495" t="s">
        <v>1279</v>
      </c>
      <c r="H12" s="904" t="s">
        <v>1480</v>
      </c>
      <c r="I12" s="905" t="s">
        <v>2423</v>
      </c>
      <c r="J12" s="906">
        <v>5300</v>
      </c>
      <c r="K12" s="906">
        <f>J12*0.8</f>
        <v>4240</v>
      </c>
      <c r="L12" s="906">
        <v>4240</v>
      </c>
      <c r="M12" s="906"/>
      <c r="N12" s="906">
        <v>4240</v>
      </c>
      <c r="O12" s="906"/>
      <c r="P12" s="906"/>
      <c r="Q12" s="403"/>
      <c r="R12" s="902"/>
      <c r="S12" s="907">
        <f>K12</f>
        <v>4240</v>
      </c>
      <c r="T12" s="906"/>
      <c r="U12" s="906"/>
      <c r="V12" s="495"/>
    </row>
    <row r="13" spans="1:27" s="908" customFormat="1" ht="77.25" customHeight="1">
      <c r="A13" s="495">
        <v>2</v>
      </c>
      <c r="B13" s="903" t="s">
        <v>2424</v>
      </c>
      <c r="C13" s="495" t="s">
        <v>89</v>
      </c>
      <c r="D13" s="495"/>
      <c r="E13" s="495" t="s">
        <v>960</v>
      </c>
      <c r="F13" s="495" t="s">
        <v>2425</v>
      </c>
      <c r="G13" s="495" t="s">
        <v>1279</v>
      </c>
      <c r="H13" s="904" t="s">
        <v>1480</v>
      </c>
      <c r="I13" s="905" t="s">
        <v>2426</v>
      </c>
      <c r="J13" s="906">
        <v>3500</v>
      </c>
      <c r="K13" s="906">
        <f>J13*0.8</f>
        <v>2800</v>
      </c>
      <c r="L13" s="906">
        <v>2800</v>
      </c>
      <c r="M13" s="906"/>
      <c r="N13" s="906">
        <v>2800</v>
      </c>
      <c r="O13" s="906"/>
      <c r="P13" s="906"/>
      <c r="Q13" s="403"/>
      <c r="R13" s="902"/>
      <c r="S13" s="907">
        <f>K13</f>
        <v>2800</v>
      </c>
      <c r="T13" s="906"/>
      <c r="U13" s="906"/>
      <c r="V13" s="495"/>
    </row>
    <row r="14" spans="1:27" s="908" customFormat="1" ht="62.25" customHeight="1">
      <c r="A14" s="495">
        <v>3</v>
      </c>
      <c r="B14" s="903" t="s">
        <v>2427</v>
      </c>
      <c r="C14" s="495" t="s">
        <v>89</v>
      </c>
      <c r="D14" s="495"/>
      <c r="E14" s="495" t="s">
        <v>960</v>
      </c>
      <c r="F14" s="495" t="s">
        <v>2428</v>
      </c>
      <c r="G14" s="495" t="s">
        <v>1279</v>
      </c>
      <c r="H14" s="904" t="s">
        <v>1480</v>
      </c>
      <c r="I14" s="905" t="s">
        <v>2429</v>
      </c>
      <c r="J14" s="906">
        <v>6470</v>
      </c>
      <c r="K14" s="906">
        <f>J14*0.8</f>
        <v>5176</v>
      </c>
      <c r="L14" s="906">
        <v>5176</v>
      </c>
      <c r="M14" s="906"/>
      <c r="N14" s="906">
        <v>5176</v>
      </c>
      <c r="O14" s="906"/>
      <c r="P14" s="906"/>
      <c r="Q14" s="403"/>
      <c r="R14" s="909"/>
      <c r="S14" s="907">
        <f>K14</f>
        <v>5176</v>
      </c>
      <c r="T14" s="906"/>
      <c r="U14" s="906"/>
      <c r="V14" s="910"/>
    </row>
    <row r="15" spans="1:27" s="908" customFormat="1" ht="66.75" customHeight="1">
      <c r="A15" s="495">
        <v>4</v>
      </c>
      <c r="B15" s="903" t="s">
        <v>2430</v>
      </c>
      <c r="C15" s="900"/>
      <c r="D15" s="911" t="s">
        <v>2431</v>
      </c>
      <c r="E15" s="495" t="s">
        <v>960</v>
      </c>
      <c r="F15" s="495" t="s">
        <v>2432</v>
      </c>
      <c r="G15" s="495" t="s">
        <v>1279</v>
      </c>
      <c r="H15" s="904" t="s">
        <v>1480</v>
      </c>
      <c r="I15" s="903" t="s">
        <v>2433</v>
      </c>
      <c r="J15" s="1072">
        <v>4540</v>
      </c>
      <c r="K15" s="906">
        <f>J15*0.7</f>
        <v>3178</v>
      </c>
      <c r="L15" s="906">
        <v>4000</v>
      </c>
      <c r="M15" s="906">
        <v>2000</v>
      </c>
      <c r="N15" s="906">
        <v>3178</v>
      </c>
      <c r="O15" s="906"/>
      <c r="P15" s="906">
        <v>822</v>
      </c>
      <c r="Q15" s="495" t="s">
        <v>2434</v>
      </c>
      <c r="R15" s="902"/>
      <c r="S15" s="907">
        <f>K15</f>
        <v>3178</v>
      </c>
      <c r="T15" s="906"/>
      <c r="U15" s="906">
        <f>L15-K15</f>
        <v>822</v>
      </c>
      <c r="V15" s="495" t="s">
        <v>2434</v>
      </c>
    </row>
    <row r="16" spans="1:27" s="908" customFormat="1" ht="59.25" customHeight="1">
      <c r="A16" s="495">
        <v>5</v>
      </c>
      <c r="B16" s="903" t="s">
        <v>2435</v>
      </c>
      <c r="C16" s="495" t="s">
        <v>89</v>
      </c>
      <c r="D16" s="894"/>
      <c r="E16" s="495" t="s">
        <v>2436</v>
      </c>
      <c r="F16" s="495" t="s">
        <v>2437</v>
      </c>
      <c r="G16" s="495" t="s">
        <v>1247</v>
      </c>
      <c r="H16" s="904" t="s">
        <v>1480</v>
      </c>
      <c r="I16" s="905"/>
      <c r="J16" s="906">
        <v>1800</v>
      </c>
      <c r="K16" s="906">
        <f t="shared" ref="K16:K22" si="5">J16*0.5</f>
        <v>900</v>
      </c>
      <c r="L16" s="906">
        <v>0</v>
      </c>
      <c r="M16" s="906"/>
      <c r="N16" s="906"/>
      <c r="O16" s="906"/>
      <c r="P16" s="906"/>
      <c r="Q16" s="910" t="s">
        <v>2438</v>
      </c>
      <c r="R16" s="909"/>
      <c r="S16" s="907"/>
      <c r="T16" s="906"/>
      <c r="U16" s="906"/>
      <c r="V16" s="910" t="s">
        <v>2438</v>
      </c>
    </row>
    <row r="17" spans="1:22" s="908" customFormat="1" ht="56.25" customHeight="1">
      <c r="A17" s="495">
        <v>6</v>
      </c>
      <c r="B17" s="903" t="s">
        <v>2439</v>
      </c>
      <c r="C17" s="495" t="s">
        <v>89</v>
      </c>
      <c r="D17" s="894"/>
      <c r="E17" s="495" t="s">
        <v>2436</v>
      </c>
      <c r="F17" s="495" t="s">
        <v>2437</v>
      </c>
      <c r="G17" s="495" t="s">
        <v>1247</v>
      </c>
      <c r="H17" s="904" t="s">
        <v>1480</v>
      </c>
      <c r="I17" s="905"/>
      <c r="J17" s="906">
        <v>1600</v>
      </c>
      <c r="K17" s="906">
        <f t="shared" si="5"/>
        <v>800</v>
      </c>
      <c r="L17" s="906">
        <v>0</v>
      </c>
      <c r="M17" s="906"/>
      <c r="N17" s="906"/>
      <c r="O17" s="906"/>
      <c r="P17" s="906"/>
      <c r="Q17" s="910" t="s">
        <v>2438</v>
      </c>
      <c r="R17" s="909"/>
      <c r="S17" s="907"/>
      <c r="T17" s="906"/>
      <c r="U17" s="906"/>
      <c r="V17" s="910" t="s">
        <v>2438</v>
      </c>
    </row>
    <row r="18" spans="1:22" s="908" customFormat="1" ht="77.25" customHeight="1">
      <c r="A18" s="495">
        <v>7</v>
      </c>
      <c r="B18" s="903" t="s">
        <v>2440</v>
      </c>
      <c r="C18" s="495" t="s">
        <v>89</v>
      </c>
      <c r="D18" s="894"/>
      <c r="E18" s="495" t="s">
        <v>2441</v>
      </c>
      <c r="F18" s="495" t="s">
        <v>1251</v>
      </c>
      <c r="G18" s="495" t="s">
        <v>1247</v>
      </c>
      <c r="H18" s="904" t="s">
        <v>1480</v>
      </c>
      <c r="I18" s="495" t="s">
        <v>2442</v>
      </c>
      <c r="J18" s="906">
        <v>1700</v>
      </c>
      <c r="K18" s="906">
        <f t="shared" si="5"/>
        <v>850</v>
      </c>
      <c r="L18" s="906">
        <v>850</v>
      </c>
      <c r="M18" s="906">
        <v>850</v>
      </c>
      <c r="N18" s="906"/>
      <c r="O18" s="906"/>
      <c r="P18" s="906">
        <v>850</v>
      </c>
      <c r="Q18" s="495" t="s">
        <v>2443</v>
      </c>
      <c r="R18" s="902"/>
      <c r="S18" s="907">
        <v>0</v>
      </c>
      <c r="T18" s="906"/>
      <c r="U18" s="906">
        <v>850</v>
      </c>
      <c r="V18" s="495" t="s">
        <v>2443</v>
      </c>
    </row>
    <row r="19" spans="1:22" s="908" customFormat="1" ht="65.25" customHeight="1">
      <c r="A19" s="495">
        <v>8</v>
      </c>
      <c r="B19" s="903" t="s">
        <v>2444</v>
      </c>
      <c r="C19" s="495" t="s">
        <v>89</v>
      </c>
      <c r="D19" s="894"/>
      <c r="E19" s="495" t="s">
        <v>2445</v>
      </c>
      <c r="F19" s="495" t="s">
        <v>2422</v>
      </c>
      <c r="G19" s="495" t="s">
        <v>1247</v>
      </c>
      <c r="H19" s="904" t="s">
        <v>1480</v>
      </c>
      <c r="I19" s="495" t="s">
        <v>2446</v>
      </c>
      <c r="J19" s="906">
        <v>3400</v>
      </c>
      <c r="K19" s="906">
        <f t="shared" si="5"/>
        <v>1700</v>
      </c>
      <c r="L19" s="906">
        <v>1700</v>
      </c>
      <c r="M19" s="906"/>
      <c r="N19" s="906">
        <v>1700</v>
      </c>
      <c r="O19" s="906"/>
      <c r="P19" s="906"/>
      <c r="Q19" s="403"/>
      <c r="R19" s="902"/>
      <c r="S19" s="907">
        <f>K19</f>
        <v>1700</v>
      </c>
      <c r="T19" s="906"/>
      <c r="U19" s="906"/>
      <c r="V19" s="495"/>
    </row>
    <row r="20" spans="1:22" s="908" customFormat="1" ht="65.25" customHeight="1">
      <c r="A20" s="495">
        <v>9</v>
      </c>
      <c r="B20" s="903" t="s">
        <v>2447</v>
      </c>
      <c r="C20" s="495" t="s">
        <v>89</v>
      </c>
      <c r="D20" s="894"/>
      <c r="E20" s="495" t="s">
        <v>2448</v>
      </c>
      <c r="F20" s="495" t="s">
        <v>2449</v>
      </c>
      <c r="G20" s="495" t="s">
        <v>1247</v>
      </c>
      <c r="H20" s="904" t="s">
        <v>1480</v>
      </c>
      <c r="I20" s="495" t="s">
        <v>2450</v>
      </c>
      <c r="J20" s="906">
        <v>2800</v>
      </c>
      <c r="K20" s="906">
        <f t="shared" si="5"/>
        <v>1400</v>
      </c>
      <c r="L20" s="906">
        <v>1400</v>
      </c>
      <c r="M20" s="906"/>
      <c r="N20" s="906">
        <v>1400</v>
      </c>
      <c r="O20" s="906"/>
      <c r="P20" s="906"/>
      <c r="Q20" s="403"/>
      <c r="R20" s="902"/>
      <c r="S20" s="907" t="e">
        <f>#REF!</f>
        <v>#REF!</v>
      </c>
      <c r="T20" s="906"/>
      <c r="U20" s="906"/>
      <c r="V20" s="495"/>
    </row>
    <row r="21" spans="1:22" s="908" customFormat="1" ht="69" customHeight="1">
      <c r="A21" s="495">
        <v>10</v>
      </c>
      <c r="B21" s="903" t="s">
        <v>2451</v>
      </c>
      <c r="C21" s="495" t="s">
        <v>89</v>
      </c>
      <c r="D21" s="894"/>
      <c r="E21" s="495" t="s">
        <v>2452</v>
      </c>
      <c r="F21" s="495" t="s">
        <v>2432</v>
      </c>
      <c r="G21" s="495" t="s">
        <v>1247</v>
      </c>
      <c r="H21" s="904" t="s">
        <v>1480</v>
      </c>
      <c r="I21" s="905"/>
      <c r="J21" s="906">
        <v>1950</v>
      </c>
      <c r="K21" s="906">
        <f t="shared" si="5"/>
        <v>975</v>
      </c>
      <c r="L21" s="906">
        <v>0</v>
      </c>
      <c r="M21" s="906"/>
      <c r="N21" s="906"/>
      <c r="O21" s="906"/>
      <c r="P21" s="906"/>
      <c r="Q21" s="910" t="s">
        <v>2438</v>
      </c>
      <c r="R21" s="909"/>
      <c r="S21" s="907"/>
      <c r="T21" s="906"/>
      <c r="U21" s="906"/>
      <c r="V21" s="910" t="s">
        <v>2438</v>
      </c>
    </row>
    <row r="22" spans="1:22" s="908" customFormat="1" ht="63.75" customHeight="1">
      <c r="A22" s="495">
        <v>11</v>
      </c>
      <c r="B22" s="903" t="s">
        <v>2453</v>
      </c>
      <c r="C22" s="495"/>
      <c r="D22" s="894"/>
      <c r="E22" s="495" t="s">
        <v>2383</v>
      </c>
      <c r="F22" s="495" t="s">
        <v>2454</v>
      </c>
      <c r="G22" s="495" t="s">
        <v>1247</v>
      </c>
      <c r="H22" s="904" t="s">
        <v>1480</v>
      </c>
      <c r="I22" s="495" t="s">
        <v>2455</v>
      </c>
      <c r="J22" s="906">
        <v>1900</v>
      </c>
      <c r="K22" s="906">
        <f t="shared" si="5"/>
        <v>950</v>
      </c>
      <c r="L22" s="906">
        <v>950</v>
      </c>
      <c r="M22" s="906"/>
      <c r="N22" s="906">
        <v>950</v>
      </c>
      <c r="O22" s="906"/>
      <c r="P22" s="906"/>
      <c r="Q22" s="403"/>
      <c r="R22" s="902"/>
      <c r="S22" s="907">
        <f>K22</f>
        <v>950</v>
      </c>
      <c r="T22" s="906"/>
      <c r="U22" s="906"/>
      <c r="V22" s="495"/>
    </row>
    <row r="23" spans="1:22" s="908" customFormat="1" ht="69" customHeight="1">
      <c r="A23" s="495">
        <v>12</v>
      </c>
      <c r="B23" s="903" t="s">
        <v>2456</v>
      </c>
      <c r="C23" s="495" t="s">
        <v>89</v>
      </c>
      <c r="D23" s="894"/>
      <c r="E23" s="495" t="s">
        <v>960</v>
      </c>
      <c r="F23" s="495" t="s">
        <v>2454</v>
      </c>
      <c r="G23" s="495" t="s">
        <v>1247</v>
      </c>
      <c r="H23" s="904" t="s">
        <v>1480</v>
      </c>
      <c r="I23" s="905"/>
      <c r="J23" s="906">
        <v>1200</v>
      </c>
      <c r="K23" s="906">
        <f>J23*0.7</f>
        <v>840</v>
      </c>
      <c r="L23" s="906">
        <v>600</v>
      </c>
      <c r="M23" s="906"/>
      <c r="N23" s="906">
        <v>0</v>
      </c>
      <c r="O23" s="906"/>
      <c r="P23" s="906">
        <v>600</v>
      </c>
      <c r="Q23" s="495" t="s">
        <v>2438</v>
      </c>
      <c r="R23" s="902"/>
      <c r="S23" s="907">
        <v>0</v>
      </c>
      <c r="T23" s="906"/>
      <c r="U23" s="906">
        <v>600</v>
      </c>
      <c r="V23" s="495" t="s">
        <v>2438</v>
      </c>
    </row>
    <row r="24" spans="1:22" s="908" customFormat="1" ht="64.5" customHeight="1">
      <c r="A24" s="495">
        <v>13</v>
      </c>
      <c r="B24" s="903" t="s">
        <v>2457</v>
      </c>
      <c r="C24" s="495" t="s">
        <v>89</v>
      </c>
      <c r="D24" s="894"/>
      <c r="E24" s="495" t="s">
        <v>960</v>
      </c>
      <c r="F24" s="495" t="s">
        <v>2454</v>
      </c>
      <c r="G24" s="495" t="s">
        <v>1247</v>
      </c>
      <c r="H24" s="904" t="s">
        <v>1480</v>
      </c>
      <c r="I24" s="905"/>
      <c r="J24" s="906">
        <v>1500</v>
      </c>
      <c r="K24" s="906">
        <f>J24*0.7</f>
        <v>1050</v>
      </c>
      <c r="L24" s="906">
        <v>750</v>
      </c>
      <c r="M24" s="906"/>
      <c r="N24" s="906">
        <v>0</v>
      </c>
      <c r="O24" s="906"/>
      <c r="P24" s="906">
        <v>750</v>
      </c>
      <c r="Q24" s="495" t="s">
        <v>2438</v>
      </c>
      <c r="R24" s="902"/>
      <c r="S24" s="907">
        <v>0</v>
      </c>
      <c r="T24" s="906"/>
      <c r="U24" s="906">
        <v>750</v>
      </c>
      <c r="V24" s="495" t="s">
        <v>2458</v>
      </c>
    </row>
    <row r="25" spans="1:22" s="908" customFormat="1" ht="57.75" customHeight="1">
      <c r="A25" s="495">
        <v>14</v>
      </c>
      <c r="B25" s="903" t="s">
        <v>2459</v>
      </c>
      <c r="C25" s="495" t="s">
        <v>89</v>
      </c>
      <c r="D25" s="495"/>
      <c r="E25" s="495" t="s">
        <v>2460</v>
      </c>
      <c r="F25" s="495" t="s">
        <v>2461</v>
      </c>
      <c r="G25" s="495" t="s">
        <v>1242</v>
      </c>
      <c r="H25" s="904" t="s">
        <v>1480</v>
      </c>
      <c r="I25" s="1073" t="s">
        <v>2462</v>
      </c>
      <c r="J25" s="906">
        <v>1718</v>
      </c>
      <c r="K25" s="906">
        <f>J25*0.3</f>
        <v>515.4</v>
      </c>
      <c r="L25" s="906">
        <v>515</v>
      </c>
      <c r="M25" s="906"/>
      <c r="N25" s="906">
        <v>515</v>
      </c>
      <c r="O25" s="906"/>
      <c r="P25" s="906"/>
      <c r="Q25" s="403"/>
      <c r="R25" s="902"/>
      <c r="S25" s="907">
        <f>K25</f>
        <v>515.4</v>
      </c>
      <c r="T25" s="906"/>
      <c r="U25" s="906"/>
      <c r="V25" s="495"/>
    </row>
    <row r="26" spans="1:22" s="883" customFormat="1" ht="62.25" customHeight="1">
      <c r="A26" s="495">
        <v>15</v>
      </c>
      <c r="B26" s="417" t="s">
        <v>2463</v>
      </c>
      <c r="C26" s="495" t="s">
        <v>89</v>
      </c>
      <c r="D26" s="911" t="s">
        <v>2464</v>
      </c>
      <c r="E26" s="495" t="s">
        <v>960</v>
      </c>
      <c r="F26" s="495" t="s">
        <v>2437</v>
      </c>
      <c r="G26" s="894"/>
      <c r="H26" s="904" t="s">
        <v>1480</v>
      </c>
      <c r="I26" s="904" t="s">
        <v>2465</v>
      </c>
      <c r="J26" s="912">
        <v>2000</v>
      </c>
      <c r="K26" s="912">
        <f>J26*0.7</f>
        <v>1400</v>
      </c>
      <c r="L26" s="913">
        <v>1400</v>
      </c>
      <c r="M26" s="912">
        <v>1400</v>
      </c>
      <c r="N26" s="912">
        <v>1400</v>
      </c>
      <c r="O26" s="906"/>
      <c r="P26" s="912"/>
      <c r="Q26" s="403"/>
      <c r="R26" s="902"/>
      <c r="S26" s="914">
        <v>1400</v>
      </c>
      <c r="T26" s="912"/>
      <c r="U26" s="912"/>
      <c r="V26" s="495"/>
    </row>
    <row r="27" spans="1:22" ht="57.75" customHeight="1">
      <c r="A27" s="495">
        <v>16</v>
      </c>
      <c r="B27" s="415" t="s">
        <v>2466</v>
      </c>
      <c r="C27" s="495" t="s">
        <v>89</v>
      </c>
      <c r="D27" s="915"/>
      <c r="E27" s="495" t="s">
        <v>960</v>
      </c>
      <c r="F27" s="915" t="s">
        <v>2422</v>
      </c>
      <c r="G27" s="408" t="s">
        <v>2467</v>
      </c>
      <c r="H27" s="904" t="s">
        <v>1480</v>
      </c>
      <c r="I27" s="1074" t="s">
        <v>2468</v>
      </c>
      <c r="J27" s="916">
        <v>927.3</v>
      </c>
      <c r="K27" s="906">
        <f>J27*0.7</f>
        <v>649.1099999999999</v>
      </c>
      <c r="L27" s="906">
        <v>700</v>
      </c>
      <c r="M27" s="906"/>
      <c r="N27" s="906">
        <v>649</v>
      </c>
      <c r="O27" s="906"/>
      <c r="P27" s="906">
        <v>51</v>
      </c>
      <c r="Q27" s="408" t="s">
        <v>2434</v>
      </c>
      <c r="R27" s="917"/>
      <c r="S27" s="907">
        <f t="shared" ref="S27:S35" si="6">K27</f>
        <v>649.1099999999999</v>
      </c>
      <c r="T27" s="906"/>
      <c r="U27" s="906">
        <f>L27-S27</f>
        <v>50.8900000000001</v>
      </c>
      <c r="V27" s="408" t="s">
        <v>2434</v>
      </c>
    </row>
    <row r="28" spans="1:22" ht="84.75" customHeight="1">
      <c r="A28" s="495">
        <v>17</v>
      </c>
      <c r="B28" s="415" t="s">
        <v>2469</v>
      </c>
      <c r="C28" s="495" t="s">
        <v>89</v>
      </c>
      <c r="D28" s="915"/>
      <c r="E28" s="495" t="s">
        <v>960</v>
      </c>
      <c r="F28" s="915" t="s">
        <v>1251</v>
      </c>
      <c r="G28" s="408" t="s">
        <v>2470</v>
      </c>
      <c r="H28" s="904" t="s">
        <v>2471</v>
      </c>
      <c r="I28" s="1073" t="s">
        <v>2472</v>
      </c>
      <c r="J28" s="916">
        <v>885</v>
      </c>
      <c r="K28" s="906">
        <f>J28*0.7</f>
        <v>619.5</v>
      </c>
      <c r="L28" s="906">
        <v>620</v>
      </c>
      <c r="M28" s="906"/>
      <c r="N28" s="906">
        <v>620</v>
      </c>
      <c r="O28" s="906"/>
      <c r="P28" s="906"/>
      <c r="Q28" s="403"/>
      <c r="R28" s="927"/>
      <c r="S28" s="907">
        <f t="shared" si="6"/>
        <v>619.5</v>
      </c>
      <c r="T28" s="906"/>
      <c r="U28" s="906"/>
      <c r="V28" s="403"/>
    </row>
    <row r="29" spans="1:22" ht="60.75" customHeight="1">
      <c r="A29" s="495">
        <v>18</v>
      </c>
      <c r="B29" s="415" t="s">
        <v>2473</v>
      </c>
      <c r="C29" s="495" t="s">
        <v>89</v>
      </c>
      <c r="D29" s="915"/>
      <c r="E29" s="495" t="s">
        <v>2474</v>
      </c>
      <c r="F29" s="915" t="s">
        <v>2425</v>
      </c>
      <c r="G29" s="408" t="s">
        <v>1242</v>
      </c>
      <c r="H29" s="904" t="s">
        <v>2471</v>
      </c>
      <c r="I29" s="910" t="s">
        <v>2475</v>
      </c>
      <c r="J29" s="916">
        <v>1625</v>
      </c>
      <c r="K29" s="906">
        <f>J29*0.3</f>
        <v>487.5</v>
      </c>
      <c r="L29" s="906">
        <v>1203</v>
      </c>
      <c r="M29" s="906"/>
      <c r="N29" s="906">
        <v>488</v>
      </c>
      <c r="O29" s="906"/>
      <c r="P29" s="906">
        <v>715</v>
      </c>
      <c r="Q29" s="910" t="s">
        <v>2434</v>
      </c>
      <c r="R29" s="909"/>
      <c r="S29" s="907">
        <f t="shared" si="6"/>
        <v>487.5</v>
      </c>
      <c r="T29" s="906"/>
      <c r="U29" s="906">
        <f>L29-K29</f>
        <v>715.5</v>
      </c>
      <c r="V29" s="910" t="s">
        <v>2434</v>
      </c>
    </row>
    <row r="30" spans="1:22" ht="57" customHeight="1">
      <c r="A30" s="495">
        <v>19</v>
      </c>
      <c r="B30" s="415" t="s">
        <v>2476</v>
      </c>
      <c r="C30" s="495" t="s">
        <v>89</v>
      </c>
      <c r="D30" s="918" t="s">
        <v>2477</v>
      </c>
      <c r="E30" s="495" t="s">
        <v>2460</v>
      </c>
      <c r="F30" s="915" t="s">
        <v>2461</v>
      </c>
      <c r="G30" s="408" t="s">
        <v>1242</v>
      </c>
      <c r="H30" s="904" t="s">
        <v>2471</v>
      </c>
      <c r="I30" s="910" t="s">
        <v>3245</v>
      </c>
      <c r="J30" s="916">
        <v>4903.3999999999996</v>
      </c>
      <c r="K30" s="906">
        <f>J30*0.3</f>
        <v>1471.0199999999998</v>
      </c>
      <c r="L30" s="906">
        <v>1497</v>
      </c>
      <c r="M30" s="906">
        <v>1200</v>
      </c>
      <c r="N30" s="906">
        <v>1471</v>
      </c>
      <c r="O30" s="906"/>
      <c r="P30" s="906">
        <v>26</v>
      </c>
      <c r="Q30" s="910" t="s">
        <v>2434</v>
      </c>
      <c r="R30" s="909"/>
      <c r="S30" s="907">
        <f t="shared" si="6"/>
        <v>1471.0199999999998</v>
      </c>
      <c r="T30" s="906"/>
      <c r="U30" s="906">
        <f>L30-K30</f>
        <v>25.980000000000246</v>
      </c>
      <c r="V30" s="910" t="s">
        <v>2434</v>
      </c>
    </row>
    <row r="31" spans="1:22" ht="66" customHeight="1">
      <c r="A31" s="495">
        <v>20</v>
      </c>
      <c r="B31" s="415" t="s">
        <v>2478</v>
      </c>
      <c r="C31" s="495" t="s">
        <v>89</v>
      </c>
      <c r="D31" s="915"/>
      <c r="E31" s="495" t="s">
        <v>2452</v>
      </c>
      <c r="F31" s="915" t="s">
        <v>2432</v>
      </c>
      <c r="G31" s="408" t="s">
        <v>1242</v>
      </c>
      <c r="H31" s="904" t="s">
        <v>2471</v>
      </c>
      <c r="I31" s="1073" t="s">
        <v>2479</v>
      </c>
      <c r="J31" s="916">
        <v>640</v>
      </c>
      <c r="K31" s="906">
        <f>J31*0.3</f>
        <v>192</v>
      </c>
      <c r="L31" s="906">
        <v>192</v>
      </c>
      <c r="M31" s="906"/>
      <c r="N31" s="906">
        <v>192</v>
      </c>
      <c r="O31" s="906"/>
      <c r="P31" s="906"/>
      <c r="Q31" s="403"/>
      <c r="R31" s="909"/>
      <c r="S31" s="907">
        <f t="shared" si="6"/>
        <v>192</v>
      </c>
      <c r="T31" s="906"/>
      <c r="U31" s="906"/>
      <c r="V31" s="910"/>
    </row>
    <row r="32" spans="1:22" ht="67.5" customHeight="1">
      <c r="A32" s="495">
        <v>21</v>
      </c>
      <c r="B32" s="417" t="s">
        <v>2480</v>
      </c>
      <c r="C32" s="495" t="s">
        <v>89</v>
      </c>
      <c r="D32" s="915"/>
      <c r="E32" s="495" t="s">
        <v>2452</v>
      </c>
      <c r="F32" s="915" t="s">
        <v>2432</v>
      </c>
      <c r="G32" s="408" t="s">
        <v>1242</v>
      </c>
      <c r="H32" s="904" t="s">
        <v>2471</v>
      </c>
      <c r="I32" s="1073" t="s">
        <v>2481</v>
      </c>
      <c r="J32" s="916">
        <v>560</v>
      </c>
      <c r="K32" s="906">
        <f>J32*0.3</f>
        <v>168</v>
      </c>
      <c r="L32" s="906">
        <v>168</v>
      </c>
      <c r="M32" s="906"/>
      <c r="N32" s="906">
        <v>168</v>
      </c>
      <c r="O32" s="906"/>
      <c r="P32" s="906"/>
      <c r="Q32" s="403"/>
      <c r="R32" s="909"/>
      <c r="S32" s="907">
        <f t="shared" si="6"/>
        <v>168</v>
      </c>
      <c r="T32" s="906"/>
      <c r="U32" s="906"/>
      <c r="V32" s="910"/>
    </row>
    <row r="33" spans="1:22" ht="71.25" customHeight="1">
      <c r="A33" s="495">
        <v>22</v>
      </c>
      <c r="B33" s="417" t="s">
        <v>2482</v>
      </c>
      <c r="C33" s="495" t="s">
        <v>89</v>
      </c>
      <c r="D33" s="915"/>
      <c r="E33" s="495" t="s">
        <v>2452</v>
      </c>
      <c r="F33" s="915" t="s">
        <v>2432</v>
      </c>
      <c r="G33" s="408" t="s">
        <v>1242</v>
      </c>
      <c r="H33" s="904" t="s">
        <v>2471</v>
      </c>
      <c r="I33" s="1073" t="s">
        <v>2483</v>
      </c>
      <c r="J33" s="916">
        <v>800</v>
      </c>
      <c r="K33" s="906">
        <f>J33*0.3</f>
        <v>240</v>
      </c>
      <c r="L33" s="906">
        <v>240</v>
      </c>
      <c r="M33" s="906"/>
      <c r="N33" s="906">
        <v>240</v>
      </c>
      <c r="O33" s="906"/>
      <c r="P33" s="906"/>
      <c r="Q33" s="403"/>
      <c r="R33" s="909"/>
      <c r="S33" s="907">
        <f t="shared" si="6"/>
        <v>240</v>
      </c>
      <c r="T33" s="906"/>
      <c r="U33" s="906"/>
      <c r="V33" s="910"/>
    </row>
    <row r="34" spans="1:22" ht="56.25" customHeight="1">
      <c r="A34" s="495">
        <v>23</v>
      </c>
      <c r="B34" s="415" t="s">
        <v>2484</v>
      </c>
      <c r="C34" s="495" t="s">
        <v>89</v>
      </c>
      <c r="D34" s="915"/>
      <c r="E34" s="495" t="s">
        <v>2485</v>
      </c>
      <c r="F34" s="915" t="s">
        <v>2486</v>
      </c>
      <c r="G34" s="408" t="s">
        <v>1242</v>
      </c>
      <c r="H34" s="904" t="s">
        <v>2471</v>
      </c>
      <c r="I34" s="1073" t="s">
        <v>2487</v>
      </c>
      <c r="J34" s="916">
        <v>2108</v>
      </c>
      <c r="K34" s="906">
        <f>J34*0.5</f>
        <v>1054</v>
      </c>
      <c r="L34" s="906">
        <v>1100</v>
      </c>
      <c r="M34" s="906"/>
      <c r="N34" s="906">
        <v>1054</v>
      </c>
      <c r="O34" s="906"/>
      <c r="P34" s="906">
        <v>46</v>
      </c>
      <c r="Q34" s="910" t="s">
        <v>2434</v>
      </c>
      <c r="R34" s="909"/>
      <c r="S34" s="907">
        <f t="shared" si="6"/>
        <v>1054</v>
      </c>
      <c r="T34" s="906"/>
      <c r="U34" s="906">
        <f>L34-K34</f>
        <v>46</v>
      </c>
      <c r="V34" s="910" t="s">
        <v>2434</v>
      </c>
    </row>
    <row r="35" spans="1:22" ht="54.75" customHeight="1">
      <c r="A35" s="495">
        <v>24</v>
      </c>
      <c r="B35" s="415" t="s">
        <v>2488</v>
      </c>
      <c r="C35" s="495" t="s">
        <v>89</v>
      </c>
      <c r="D35" s="915"/>
      <c r="E35" s="495" t="s">
        <v>2485</v>
      </c>
      <c r="F35" s="915" t="s">
        <v>2486</v>
      </c>
      <c r="G35" s="408" t="s">
        <v>1242</v>
      </c>
      <c r="H35" s="904" t="s">
        <v>2471</v>
      </c>
      <c r="I35" s="1073" t="s">
        <v>2489</v>
      </c>
      <c r="J35" s="916">
        <v>718</v>
      </c>
      <c r="K35" s="906">
        <f>J35*0.5</f>
        <v>359</v>
      </c>
      <c r="L35" s="906">
        <v>359</v>
      </c>
      <c r="M35" s="906"/>
      <c r="N35" s="906">
        <v>359</v>
      </c>
      <c r="O35" s="906"/>
      <c r="P35" s="906"/>
      <c r="Q35" s="403"/>
      <c r="R35" s="909"/>
      <c r="S35" s="907">
        <f t="shared" si="6"/>
        <v>359</v>
      </c>
      <c r="T35" s="906"/>
      <c r="U35" s="906"/>
      <c r="V35" s="910"/>
    </row>
    <row r="36" spans="1:22" ht="56.25">
      <c r="A36" s="495">
        <v>25</v>
      </c>
      <c r="B36" s="415" t="s">
        <v>2490</v>
      </c>
      <c r="C36" s="495" t="s">
        <v>89</v>
      </c>
      <c r="D36" s="915"/>
      <c r="E36" s="495" t="s">
        <v>2383</v>
      </c>
      <c r="F36" s="915" t="s">
        <v>2454</v>
      </c>
      <c r="G36" s="408" t="s">
        <v>1247</v>
      </c>
      <c r="H36" s="904" t="s">
        <v>1253</v>
      </c>
      <c r="I36" s="1073"/>
      <c r="J36" s="916">
        <v>1500</v>
      </c>
      <c r="K36" s="906">
        <f>J36*0.5</f>
        <v>750</v>
      </c>
      <c r="L36" s="906"/>
      <c r="M36" s="906"/>
      <c r="N36" s="906">
        <v>750</v>
      </c>
      <c r="O36" s="906">
        <v>750</v>
      </c>
      <c r="P36" s="906"/>
      <c r="Q36" s="910" t="s">
        <v>2491</v>
      </c>
      <c r="R36" s="909"/>
      <c r="S36" s="907"/>
      <c r="T36" s="906"/>
      <c r="U36" s="906"/>
      <c r="V36" s="910"/>
    </row>
    <row r="37" spans="1:22" ht="56.25">
      <c r="A37" s="495">
        <v>26</v>
      </c>
      <c r="B37" s="415" t="s">
        <v>2492</v>
      </c>
      <c r="C37" s="495" t="s">
        <v>89</v>
      </c>
      <c r="D37" s="915"/>
      <c r="E37" s="495" t="s">
        <v>2441</v>
      </c>
      <c r="F37" s="915" t="s">
        <v>1251</v>
      </c>
      <c r="G37" s="408" t="s">
        <v>1242</v>
      </c>
      <c r="H37" s="904" t="s">
        <v>1253</v>
      </c>
      <c r="I37" s="1073"/>
      <c r="J37" s="916">
        <v>1510</v>
      </c>
      <c r="K37" s="906">
        <f>J37*0.5</f>
        <v>755</v>
      </c>
      <c r="L37" s="906"/>
      <c r="M37" s="906"/>
      <c r="N37" s="906">
        <v>755</v>
      </c>
      <c r="O37" s="906">
        <v>755</v>
      </c>
      <c r="P37" s="906"/>
      <c r="Q37" s="910" t="s">
        <v>2491</v>
      </c>
      <c r="R37" s="909"/>
      <c r="S37" s="907"/>
      <c r="T37" s="906"/>
      <c r="U37" s="906"/>
      <c r="V37" s="910"/>
    </row>
    <row r="38" spans="1:22" ht="56.25">
      <c r="A38" s="495">
        <v>27</v>
      </c>
      <c r="B38" s="415" t="s">
        <v>2493</v>
      </c>
      <c r="C38" s="495" t="s">
        <v>89</v>
      </c>
      <c r="D38" s="915"/>
      <c r="E38" s="495" t="s">
        <v>960</v>
      </c>
      <c r="F38" s="915" t="s">
        <v>2486</v>
      </c>
      <c r="G38" s="408" t="s">
        <v>1279</v>
      </c>
      <c r="H38" s="904" t="s">
        <v>1253</v>
      </c>
      <c r="I38" s="1073"/>
      <c r="J38" s="916">
        <v>2944</v>
      </c>
      <c r="K38" s="906">
        <f>J38*0.8</f>
        <v>2355.2000000000003</v>
      </c>
      <c r="L38" s="906"/>
      <c r="M38" s="906"/>
      <c r="N38" s="906">
        <v>2355</v>
      </c>
      <c r="O38" s="906">
        <v>2355</v>
      </c>
      <c r="P38" s="906"/>
      <c r="Q38" s="910" t="s">
        <v>2491</v>
      </c>
      <c r="R38" s="909"/>
      <c r="S38" s="907"/>
      <c r="T38" s="906"/>
      <c r="U38" s="906"/>
      <c r="V38" s="910"/>
    </row>
    <row r="39" spans="1:22" s="883" customFormat="1" ht="32.25" customHeight="1">
      <c r="A39" s="894" t="s">
        <v>109</v>
      </c>
      <c r="B39" s="895" t="s">
        <v>1254</v>
      </c>
      <c r="C39" s="495"/>
      <c r="D39" s="894"/>
      <c r="E39" s="894"/>
      <c r="F39" s="894"/>
      <c r="G39" s="894"/>
      <c r="H39" s="894"/>
      <c r="I39" s="896"/>
      <c r="J39" s="897">
        <f>J40</f>
        <v>183865.60000000001</v>
      </c>
      <c r="K39" s="897">
        <f t="shared" ref="K39:P39" si="7">K40</f>
        <v>139091.6</v>
      </c>
      <c r="L39" s="897">
        <f t="shared" si="7"/>
        <v>110812</v>
      </c>
      <c r="M39" s="897">
        <f t="shared" si="7"/>
        <v>94648</v>
      </c>
      <c r="N39" s="897">
        <f t="shared" si="7"/>
        <v>110812</v>
      </c>
      <c r="O39" s="897">
        <f t="shared" si="7"/>
        <v>8212</v>
      </c>
      <c r="P39" s="897">
        <f t="shared" si="7"/>
        <v>8211.7999999999993</v>
      </c>
      <c r="Q39" s="910">
        <f>94648-M39</f>
        <v>0</v>
      </c>
      <c r="R39" s="909"/>
      <c r="S39" s="899">
        <f t="shared" ref="S39:U39" si="8">SUM(S40:S56)</f>
        <v>75553.2</v>
      </c>
      <c r="T39" s="897">
        <f t="shared" si="8"/>
        <v>10465</v>
      </c>
      <c r="U39" s="897" t="e">
        <f t="shared" si="8"/>
        <v>#VALUE!</v>
      </c>
      <c r="V39" s="910"/>
    </row>
    <row r="40" spans="1:22" s="883" customFormat="1" ht="38.25" customHeight="1">
      <c r="A40" s="894" t="s">
        <v>279</v>
      </c>
      <c r="B40" s="900" t="s">
        <v>685</v>
      </c>
      <c r="C40" s="495"/>
      <c r="D40" s="894"/>
      <c r="E40" s="894"/>
      <c r="F40" s="894"/>
      <c r="G40" s="894"/>
      <c r="H40" s="894"/>
      <c r="I40" s="896"/>
      <c r="J40" s="897">
        <f>SUM(J41:J56)</f>
        <v>183865.60000000001</v>
      </c>
      <c r="K40" s="897">
        <f t="shared" ref="K40:P40" si="9">SUM(K41:K56)</f>
        <v>139091.6</v>
      </c>
      <c r="L40" s="897">
        <f t="shared" si="9"/>
        <v>110812</v>
      </c>
      <c r="M40" s="897">
        <f t="shared" si="9"/>
        <v>94648</v>
      </c>
      <c r="N40" s="897">
        <f t="shared" si="9"/>
        <v>110812</v>
      </c>
      <c r="O40" s="897">
        <f t="shared" si="9"/>
        <v>8212</v>
      </c>
      <c r="P40" s="897">
        <f t="shared" si="9"/>
        <v>8211.7999999999993</v>
      </c>
      <c r="Q40" s="910"/>
      <c r="R40" s="909"/>
      <c r="S40" s="899"/>
      <c r="T40" s="897"/>
      <c r="U40" s="897"/>
      <c r="V40" s="910"/>
    </row>
    <row r="41" spans="1:22" s="908" customFormat="1" ht="70.5" customHeight="1">
      <c r="A41" s="920">
        <v>1</v>
      </c>
      <c r="B41" s="921" t="s">
        <v>2494</v>
      </c>
      <c r="C41" s="495" t="s">
        <v>89</v>
      </c>
      <c r="D41" s="403">
        <v>7893355</v>
      </c>
      <c r="E41" s="920" t="s">
        <v>658</v>
      </c>
      <c r="F41" s="920" t="s">
        <v>2495</v>
      </c>
      <c r="G41" s="920" t="s">
        <v>1341</v>
      </c>
      <c r="H41" s="920" t="s">
        <v>673</v>
      </c>
      <c r="I41" s="910" t="s">
        <v>2496</v>
      </c>
      <c r="J41" s="491">
        <v>41000</v>
      </c>
      <c r="K41" s="491">
        <f>J41*0.9</f>
        <v>36900</v>
      </c>
      <c r="L41" s="906">
        <v>36700</v>
      </c>
      <c r="M41" s="491">
        <f>9000+13785+10329</f>
        <v>33114</v>
      </c>
      <c r="N41" s="491">
        <v>33114</v>
      </c>
      <c r="O41" s="491"/>
      <c r="P41" s="491">
        <v>3586</v>
      </c>
      <c r="Q41" s="910" t="s">
        <v>2246</v>
      </c>
      <c r="R41" s="909"/>
      <c r="S41" s="922">
        <v>33114</v>
      </c>
      <c r="T41" s="491"/>
      <c r="U41" s="491" t="e">
        <f>Q41-S41</f>
        <v>#VALUE!</v>
      </c>
      <c r="V41" s="910" t="s">
        <v>2243</v>
      </c>
    </row>
    <row r="42" spans="1:22" s="908" customFormat="1" ht="69" customHeight="1">
      <c r="A42" s="920">
        <v>2</v>
      </c>
      <c r="B42" s="921" t="s">
        <v>2497</v>
      </c>
      <c r="C42" s="495" t="s">
        <v>89</v>
      </c>
      <c r="D42" s="403">
        <v>7963342</v>
      </c>
      <c r="E42" s="920" t="s">
        <v>658</v>
      </c>
      <c r="F42" s="920" t="s">
        <v>2495</v>
      </c>
      <c r="G42" s="920" t="s">
        <v>1259</v>
      </c>
      <c r="H42" s="920" t="s">
        <v>673</v>
      </c>
      <c r="I42" s="923" t="s">
        <v>2498</v>
      </c>
      <c r="J42" s="491">
        <v>14950</v>
      </c>
      <c r="K42" s="491">
        <f>J42*0.7</f>
        <v>10465</v>
      </c>
      <c r="L42" s="906">
        <v>10465</v>
      </c>
      <c r="M42" s="491">
        <f>2300+3922+4243</f>
        <v>10465</v>
      </c>
      <c r="N42" s="491">
        <v>10465</v>
      </c>
      <c r="O42" s="491"/>
      <c r="P42" s="491"/>
      <c r="Q42" s="403"/>
      <c r="R42" s="909"/>
      <c r="S42" s="922">
        <f>K42</f>
        <v>10465</v>
      </c>
      <c r="T42" s="491">
        <f>S42-Q42</f>
        <v>10465</v>
      </c>
      <c r="U42" s="491"/>
      <c r="V42" s="910" t="s">
        <v>1228</v>
      </c>
    </row>
    <row r="43" spans="1:22" s="908" customFormat="1" ht="63" customHeight="1">
      <c r="A43" s="920">
        <v>3</v>
      </c>
      <c r="B43" s="417" t="s">
        <v>2499</v>
      </c>
      <c r="C43" s="495" t="s">
        <v>89</v>
      </c>
      <c r="D43" s="403">
        <v>7908598</v>
      </c>
      <c r="E43" s="920" t="s">
        <v>658</v>
      </c>
      <c r="F43" s="408" t="s">
        <v>2500</v>
      </c>
      <c r="G43" s="408" t="s">
        <v>1279</v>
      </c>
      <c r="H43" s="408" t="s">
        <v>673</v>
      </c>
      <c r="I43" s="923" t="s">
        <v>2501</v>
      </c>
      <c r="J43" s="491">
        <v>14981</v>
      </c>
      <c r="K43" s="491">
        <f>J43*0.9</f>
        <v>13482.9</v>
      </c>
      <c r="L43" s="906">
        <v>13483</v>
      </c>
      <c r="M43" s="491">
        <f>5590+3517+4293</f>
        <v>13400</v>
      </c>
      <c r="N43" s="491">
        <v>13400</v>
      </c>
      <c r="O43" s="491"/>
      <c r="P43" s="491">
        <v>83</v>
      </c>
      <c r="Q43" s="910" t="s">
        <v>2246</v>
      </c>
      <c r="R43" s="909"/>
      <c r="S43" s="922">
        <v>13400</v>
      </c>
      <c r="T43" s="491"/>
      <c r="U43" s="491" t="e">
        <f>Q43-S43</f>
        <v>#VALUE!</v>
      </c>
      <c r="V43" s="910" t="s">
        <v>2243</v>
      </c>
    </row>
    <row r="44" spans="1:22" s="908" customFormat="1" ht="66.75" customHeight="1">
      <c r="A44" s="920">
        <v>4</v>
      </c>
      <c r="B44" s="417" t="s">
        <v>2502</v>
      </c>
      <c r="C44" s="495" t="s">
        <v>89</v>
      </c>
      <c r="D44" s="403">
        <v>7906078</v>
      </c>
      <c r="E44" s="920" t="s">
        <v>658</v>
      </c>
      <c r="F44" s="408" t="s">
        <v>2500</v>
      </c>
      <c r="G44" s="408" t="s">
        <v>2503</v>
      </c>
      <c r="H44" s="408" t="s">
        <v>673</v>
      </c>
      <c r="I44" s="923" t="s">
        <v>2504</v>
      </c>
      <c r="J44" s="491">
        <v>14347</v>
      </c>
      <c r="K44" s="491">
        <f>J44*0.9</f>
        <v>12912.300000000001</v>
      </c>
      <c r="L44" s="906">
        <v>12912</v>
      </c>
      <c r="M44" s="491">
        <f>4100+3900+4048</f>
        <v>12048</v>
      </c>
      <c r="N44" s="491">
        <v>12048</v>
      </c>
      <c r="O44" s="491"/>
      <c r="P44" s="491">
        <v>864</v>
      </c>
      <c r="Q44" s="910" t="s">
        <v>2246</v>
      </c>
      <c r="R44" s="909"/>
      <c r="S44" s="922">
        <v>12048</v>
      </c>
      <c r="T44" s="491"/>
      <c r="U44" s="491" t="e">
        <f>Q44-S44</f>
        <v>#VALUE!</v>
      </c>
      <c r="V44" s="910" t="s">
        <v>2243</v>
      </c>
    </row>
    <row r="45" spans="1:22" s="908" customFormat="1" ht="75" customHeight="1">
      <c r="A45" s="920">
        <v>5</v>
      </c>
      <c r="B45" s="924" t="s">
        <v>2505</v>
      </c>
      <c r="C45" s="495" t="s">
        <v>89</v>
      </c>
      <c r="D45" s="920">
        <v>7964948</v>
      </c>
      <c r="E45" s="920" t="s">
        <v>658</v>
      </c>
      <c r="F45" s="920" t="s">
        <v>1326</v>
      </c>
      <c r="G45" s="920" t="s">
        <v>1279</v>
      </c>
      <c r="H45" s="920" t="s">
        <v>673</v>
      </c>
      <c r="I45" s="923" t="s">
        <v>2506</v>
      </c>
      <c r="J45" s="491">
        <v>8800</v>
      </c>
      <c r="K45" s="491">
        <f>J45*0.9</f>
        <v>7920</v>
      </c>
      <c r="L45" s="906">
        <v>7920</v>
      </c>
      <c r="M45" s="491">
        <f>2870+3025</f>
        <v>5895</v>
      </c>
      <c r="N45" s="491">
        <v>5895</v>
      </c>
      <c r="O45" s="491"/>
      <c r="P45" s="491">
        <v>2025</v>
      </c>
      <c r="Q45" s="910" t="s">
        <v>2246</v>
      </c>
      <c r="R45" s="917"/>
      <c r="S45" s="922" t="str">
        <f>Q45</f>
        <v xml:space="preserve">Dự án hoàn thành hết nhu cầu vốn </v>
      </c>
      <c r="T45" s="491"/>
      <c r="U45" s="491" t="e">
        <f>L45-Q45</f>
        <v>#VALUE!</v>
      </c>
      <c r="V45" s="408" t="s">
        <v>2243</v>
      </c>
    </row>
    <row r="46" spans="1:22" s="926" customFormat="1" ht="74.25" customHeight="1">
      <c r="A46" s="920">
        <v>6</v>
      </c>
      <c r="B46" s="925" t="s">
        <v>2507</v>
      </c>
      <c r="C46" s="495" t="s">
        <v>89</v>
      </c>
      <c r="D46" s="920">
        <v>7964947</v>
      </c>
      <c r="E46" s="920" t="s">
        <v>658</v>
      </c>
      <c r="F46" s="920" t="s">
        <v>1326</v>
      </c>
      <c r="G46" s="920" t="s">
        <v>1353</v>
      </c>
      <c r="H46" s="920" t="s">
        <v>673</v>
      </c>
      <c r="I46" s="923" t="s">
        <v>2508</v>
      </c>
      <c r="J46" s="491">
        <v>5900</v>
      </c>
      <c r="K46" s="491">
        <f>J46*0.9</f>
        <v>5310</v>
      </c>
      <c r="L46" s="906">
        <v>5310</v>
      </c>
      <c r="M46" s="491">
        <v>3708</v>
      </c>
      <c r="N46" s="491">
        <v>3708</v>
      </c>
      <c r="O46" s="491"/>
      <c r="P46" s="491">
        <v>1602</v>
      </c>
      <c r="Q46" s="910" t="s">
        <v>2246</v>
      </c>
      <c r="R46" s="917"/>
      <c r="S46" s="922" t="str">
        <f>Q46</f>
        <v xml:space="preserve">Dự án hoàn thành hết nhu cầu vốn </v>
      </c>
      <c r="T46" s="491"/>
      <c r="U46" s="491" t="e">
        <f>L46-Q46</f>
        <v>#VALUE!</v>
      </c>
      <c r="V46" s="408" t="s">
        <v>2243</v>
      </c>
    </row>
    <row r="47" spans="1:22" ht="87.75" customHeight="1">
      <c r="A47" s="920">
        <v>7</v>
      </c>
      <c r="B47" s="921" t="s">
        <v>2509</v>
      </c>
      <c r="C47" s="495" t="s">
        <v>89</v>
      </c>
      <c r="D47" s="403">
        <v>7963343</v>
      </c>
      <c r="E47" s="920" t="s">
        <v>658</v>
      </c>
      <c r="F47" s="920" t="s">
        <v>1323</v>
      </c>
      <c r="G47" s="920" t="s">
        <v>2510</v>
      </c>
      <c r="H47" s="920" t="s">
        <v>673</v>
      </c>
      <c r="I47" s="910" t="s">
        <v>2511</v>
      </c>
      <c r="J47" s="916">
        <v>3000</v>
      </c>
      <c r="K47" s="916">
        <f>J47*0.8</f>
        <v>2400</v>
      </c>
      <c r="L47" s="906">
        <v>2400</v>
      </c>
      <c r="M47" s="491">
        <v>2400</v>
      </c>
      <c r="N47" s="491">
        <v>2400</v>
      </c>
      <c r="O47" s="491"/>
      <c r="P47" s="491"/>
      <c r="Q47" s="403"/>
      <c r="R47" s="927"/>
      <c r="S47" s="922">
        <v>2400</v>
      </c>
      <c r="T47" s="491"/>
      <c r="U47" s="491"/>
      <c r="V47" s="403" t="s">
        <v>1838</v>
      </c>
    </row>
    <row r="48" spans="1:22" ht="67.5" customHeight="1">
      <c r="A48" s="920">
        <v>8</v>
      </c>
      <c r="B48" s="928" t="s">
        <v>2512</v>
      </c>
      <c r="C48" s="495" t="s">
        <v>89</v>
      </c>
      <c r="D48" s="403">
        <v>7964560</v>
      </c>
      <c r="E48" s="920" t="s">
        <v>658</v>
      </c>
      <c r="F48" s="920" t="s">
        <v>1323</v>
      </c>
      <c r="G48" s="920" t="s">
        <v>1240</v>
      </c>
      <c r="H48" s="920" t="s">
        <v>673</v>
      </c>
      <c r="I48" s="910" t="s">
        <v>2513</v>
      </c>
      <c r="J48" s="916">
        <v>1656</v>
      </c>
      <c r="K48" s="916">
        <f>J48*0.7</f>
        <v>1159.1999999999998</v>
      </c>
      <c r="L48" s="906">
        <v>1159</v>
      </c>
      <c r="M48" s="491">
        <v>1159</v>
      </c>
      <c r="N48" s="491">
        <v>1159</v>
      </c>
      <c r="O48" s="491"/>
      <c r="P48" s="491"/>
      <c r="Q48" s="403"/>
      <c r="R48" s="927"/>
      <c r="S48" s="922">
        <v>1159</v>
      </c>
      <c r="T48" s="491"/>
      <c r="U48" s="491"/>
      <c r="V48" s="403" t="s">
        <v>1838</v>
      </c>
    </row>
    <row r="49" spans="1:22" s="908" customFormat="1" ht="69.75" customHeight="1">
      <c r="A49" s="920">
        <v>9</v>
      </c>
      <c r="B49" s="924" t="s">
        <v>2514</v>
      </c>
      <c r="C49" s="495" t="s">
        <v>89</v>
      </c>
      <c r="D49" s="920">
        <v>8011099</v>
      </c>
      <c r="E49" s="920" t="s">
        <v>658</v>
      </c>
      <c r="F49" s="920" t="s">
        <v>1326</v>
      </c>
      <c r="G49" s="920" t="s">
        <v>1247</v>
      </c>
      <c r="H49" s="920" t="s">
        <v>1480</v>
      </c>
      <c r="I49" s="910" t="s">
        <v>2515</v>
      </c>
      <c r="J49" s="916">
        <v>4176</v>
      </c>
      <c r="K49" s="916">
        <f>J49*0.5</f>
        <v>2088</v>
      </c>
      <c r="L49" s="491">
        <v>2088</v>
      </c>
      <c r="M49" s="491">
        <v>2088</v>
      </c>
      <c r="N49" s="491">
        <v>2088</v>
      </c>
      <c r="O49" s="491"/>
      <c r="P49" s="491"/>
      <c r="Q49" s="403"/>
      <c r="R49" s="927"/>
      <c r="S49" s="922">
        <v>2088</v>
      </c>
      <c r="T49" s="491"/>
      <c r="U49" s="491"/>
      <c r="V49" s="403" t="s">
        <v>1838</v>
      </c>
    </row>
    <row r="50" spans="1:22" s="908" customFormat="1" ht="105" customHeight="1">
      <c r="A50" s="920">
        <v>10</v>
      </c>
      <c r="B50" s="928" t="s">
        <v>2516</v>
      </c>
      <c r="C50" s="495" t="s">
        <v>89</v>
      </c>
      <c r="D50" s="929" t="s">
        <v>2517</v>
      </c>
      <c r="E50" s="920" t="s">
        <v>658</v>
      </c>
      <c r="F50" s="920" t="s">
        <v>904</v>
      </c>
      <c r="G50" s="920" t="s">
        <v>2518</v>
      </c>
      <c r="H50" s="920" t="s">
        <v>1480</v>
      </c>
      <c r="I50" s="408" t="s">
        <v>2519</v>
      </c>
      <c r="J50" s="916">
        <v>1256</v>
      </c>
      <c r="K50" s="916">
        <f>J50*0.7</f>
        <v>879.19999999999993</v>
      </c>
      <c r="L50" s="930">
        <v>931</v>
      </c>
      <c r="M50" s="491">
        <v>500</v>
      </c>
      <c r="N50" s="491">
        <v>879</v>
      </c>
      <c r="O50" s="491"/>
      <c r="P50" s="491">
        <v>51.800000000000068</v>
      </c>
      <c r="Q50" s="495" t="s">
        <v>2434</v>
      </c>
      <c r="R50" s="902"/>
      <c r="S50" s="922">
        <f>K50</f>
        <v>879.19999999999993</v>
      </c>
      <c r="T50" s="491"/>
      <c r="U50" s="491">
        <f>L50-K50</f>
        <v>51.800000000000068</v>
      </c>
      <c r="V50" s="495" t="s">
        <v>2434</v>
      </c>
    </row>
    <row r="51" spans="1:22" s="908" customFormat="1" ht="69.75" customHeight="1">
      <c r="A51" s="920">
        <v>11</v>
      </c>
      <c r="B51" s="928" t="s">
        <v>2520</v>
      </c>
      <c r="C51" s="495" t="s">
        <v>89</v>
      </c>
      <c r="D51" s="499" t="s">
        <v>2521</v>
      </c>
      <c r="E51" s="920" t="s">
        <v>658</v>
      </c>
      <c r="F51" s="408" t="s">
        <v>904</v>
      </c>
      <c r="G51" s="920" t="s">
        <v>1259</v>
      </c>
      <c r="H51" s="920" t="s">
        <v>1253</v>
      </c>
      <c r="I51" s="408" t="s">
        <v>2522</v>
      </c>
      <c r="J51" s="931">
        <v>8715.6</v>
      </c>
      <c r="K51" s="916">
        <f>J51*0.5</f>
        <v>4357.8</v>
      </c>
      <c r="L51" s="491">
        <v>2000</v>
      </c>
      <c r="M51" s="491"/>
      <c r="N51" s="491">
        <v>4358</v>
      </c>
      <c r="O51" s="491">
        <f t="shared" ref="O51:O56" si="10">N51-L51</f>
        <v>2358</v>
      </c>
      <c r="Q51" s="910" t="s">
        <v>2381</v>
      </c>
      <c r="R51" s="932"/>
      <c r="S51" s="922" t="s">
        <v>2523</v>
      </c>
      <c r="T51" s="491"/>
      <c r="U51" s="491"/>
      <c r="V51" s="495"/>
    </row>
    <row r="52" spans="1:22" s="908" customFormat="1" ht="69.75" customHeight="1">
      <c r="A52" s="920">
        <v>12</v>
      </c>
      <c r="B52" s="928" t="s">
        <v>2524</v>
      </c>
      <c r="C52" s="495" t="s">
        <v>89</v>
      </c>
      <c r="D52" s="929" t="s">
        <v>2525</v>
      </c>
      <c r="E52" s="920" t="s">
        <v>658</v>
      </c>
      <c r="F52" s="920" t="s">
        <v>1265</v>
      </c>
      <c r="G52" s="408" t="s">
        <v>2526</v>
      </c>
      <c r="H52" s="920" t="s">
        <v>1253</v>
      </c>
      <c r="I52" s="910" t="s">
        <v>2527</v>
      </c>
      <c r="J52" s="916">
        <v>3500</v>
      </c>
      <c r="K52" s="916">
        <f>J52*0.7</f>
        <v>2450</v>
      </c>
      <c r="L52" s="930">
        <v>2450</v>
      </c>
      <c r="M52" s="491"/>
      <c r="N52" s="491">
        <v>2450</v>
      </c>
      <c r="O52" s="491"/>
      <c r="P52" s="491"/>
      <c r="Q52" s="910"/>
      <c r="R52" s="909"/>
      <c r="S52" s="922"/>
      <c r="T52" s="491"/>
      <c r="U52" s="491"/>
      <c r="V52" s="910"/>
    </row>
    <row r="53" spans="1:22" s="908" customFormat="1" ht="65.25" customHeight="1">
      <c r="A53" s="920">
        <v>13</v>
      </c>
      <c r="B53" s="415" t="s">
        <v>2528</v>
      </c>
      <c r="C53" s="495" t="s">
        <v>89</v>
      </c>
      <c r="D53" s="499" t="s">
        <v>2529</v>
      </c>
      <c r="E53" s="920" t="s">
        <v>658</v>
      </c>
      <c r="F53" s="408" t="s">
        <v>1265</v>
      </c>
      <c r="G53" s="920" t="s">
        <v>1341</v>
      </c>
      <c r="H53" s="920" t="s">
        <v>1253</v>
      </c>
      <c r="I53" s="408" t="s">
        <v>2530</v>
      </c>
      <c r="J53" s="931">
        <v>13812</v>
      </c>
      <c r="K53" s="916">
        <f>J53*0.8</f>
        <v>11049.6</v>
      </c>
      <c r="L53" s="491">
        <v>4494</v>
      </c>
      <c r="M53" s="491">
        <f>2121+2379+517</f>
        <v>5017</v>
      </c>
      <c r="N53" s="491">
        <v>6648</v>
      </c>
      <c r="O53" s="491">
        <v>2154</v>
      </c>
      <c r="P53" s="491"/>
      <c r="Q53" s="910" t="s">
        <v>2381</v>
      </c>
      <c r="R53" s="909"/>
      <c r="S53" s="922" t="s">
        <v>2523</v>
      </c>
      <c r="T53" s="491"/>
      <c r="U53" s="491"/>
      <c r="V53" s="910"/>
    </row>
    <row r="54" spans="1:22" s="908" customFormat="1" ht="69" customHeight="1">
      <c r="A54" s="920">
        <v>14</v>
      </c>
      <c r="B54" s="415" t="s">
        <v>2531</v>
      </c>
      <c r="C54" s="495" t="s">
        <v>89</v>
      </c>
      <c r="D54" s="408">
        <v>8070236</v>
      </c>
      <c r="E54" s="920" t="s">
        <v>658</v>
      </c>
      <c r="F54" s="408" t="s">
        <v>1338</v>
      </c>
      <c r="G54" s="920" t="s">
        <v>1341</v>
      </c>
      <c r="H54" s="920" t="s">
        <v>1253</v>
      </c>
      <c r="I54" s="408" t="s">
        <v>2532</v>
      </c>
      <c r="J54" s="931">
        <v>12772</v>
      </c>
      <c r="K54" s="916">
        <f>J54*0.8</f>
        <v>10217.6</v>
      </c>
      <c r="L54" s="491">
        <v>3000</v>
      </c>
      <c r="M54" s="491">
        <v>4854</v>
      </c>
      <c r="N54" s="491">
        <v>6700</v>
      </c>
      <c r="O54" s="491">
        <f t="shared" si="10"/>
        <v>3700</v>
      </c>
      <c r="P54" s="491"/>
      <c r="Q54" s="910" t="s">
        <v>2381</v>
      </c>
      <c r="R54" s="909"/>
      <c r="S54" s="922" t="s">
        <v>2533</v>
      </c>
      <c r="T54" s="491"/>
      <c r="U54" s="491"/>
      <c r="V54" s="910"/>
    </row>
    <row r="55" spans="1:22" s="908" customFormat="1" ht="66" customHeight="1">
      <c r="A55" s="920">
        <v>15</v>
      </c>
      <c r="B55" s="415" t="s">
        <v>2534</v>
      </c>
      <c r="C55" s="495" t="s">
        <v>89</v>
      </c>
      <c r="D55" s="408"/>
      <c r="E55" s="920" t="s">
        <v>658</v>
      </c>
      <c r="F55" s="408" t="s">
        <v>1345</v>
      </c>
      <c r="G55" s="920"/>
      <c r="H55" s="408" t="s">
        <v>1334</v>
      </c>
      <c r="I55" s="408"/>
      <c r="J55" s="931">
        <v>30000</v>
      </c>
      <c r="K55" s="916">
        <v>15000</v>
      </c>
      <c r="L55" s="491">
        <v>3000</v>
      </c>
      <c r="M55" s="906"/>
      <c r="N55" s="906">
        <v>3000</v>
      </c>
      <c r="O55" s="491"/>
      <c r="P55" s="906"/>
      <c r="Q55" s="910"/>
      <c r="R55" s="909"/>
      <c r="S55" s="907" t="s">
        <v>2523</v>
      </c>
      <c r="T55" s="906"/>
      <c r="U55" s="906"/>
      <c r="V55" s="910"/>
    </row>
    <row r="56" spans="1:22" s="908" customFormat="1" ht="67.5" customHeight="1">
      <c r="A56" s="920">
        <v>16</v>
      </c>
      <c r="B56" s="415" t="s">
        <v>2535</v>
      </c>
      <c r="C56" s="495" t="s">
        <v>89</v>
      </c>
      <c r="D56" s="408"/>
      <c r="E56" s="920" t="s">
        <v>658</v>
      </c>
      <c r="F56" s="408" t="s">
        <v>1345</v>
      </c>
      <c r="G56" s="920"/>
      <c r="H56" s="408" t="s">
        <v>1334</v>
      </c>
      <c r="I56" s="920"/>
      <c r="J56" s="931">
        <v>5000</v>
      </c>
      <c r="K56" s="916">
        <v>2500</v>
      </c>
      <c r="L56" s="491">
        <v>2500</v>
      </c>
      <c r="M56" s="933"/>
      <c r="N56" s="933">
        <v>2500</v>
      </c>
      <c r="O56" s="491"/>
      <c r="P56" s="933"/>
      <c r="Q56" s="910"/>
      <c r="R56" s="909"/>
      <c r="S56" s="934"/>
      <c r="T56" s="933"/>
      <c r="U56" s="933"/>
      <c r="V56" s="910"/>
    </row>
    <row r="57" spans="1:22" s="883" customFormat="1" ht="42" customHeight="1">
      <c r="A57" s="894" t="s">
        <v>122</v>
      </c>
      <c r="B57" s="895" t="s">
        <v>1346</v>
      </c>
      <c r="C57" s="495"/>
      <c r="D57" s="894"/>
      <c r="E57" s="894"/>
      <c r="F57" s="894"/>
      <c r="G57" s="894"/>
      <c r="H57" s="894"/>
      <c r="I57" s="896"/>
      <c r="J57" s="897">
        <f>J58</f>
        <v>234415.08869800001</v>
      </c>
      <c r="K57" s="897">
        <f t="shared" ref="K57:P57" si="11">K58</f>
        <v>147729.9620886</v>
      </c>
      <c r="L57" s="897">
        <f t="shared" si="11"/>
        <v>92406</v>
      </c>
      <c r="M57" s="897">
        <f t="shared" si="11"/>
        <v>82846</v>
      </c>
      <c r="N57" s="897">
        <f t="shared" si="11"/>
        <v>92406</v>
      </c>
      <c r="O57" s="897">
        <f t="shared" si="11"/>
        <v>3326</v>
      </c>
      <c r="P57" s="897">
        <f t="shared" si="11"/>
        <v>3326</v>
      </c>
      <c r="Q57" s="910">
        <f>P57-O57</f>
        <v>0</v>
      </c>
      <c r="R57" s="936"/>
    </row>
    <row r="58" spans="1:22" s="883" customFormat="1" ht="42" customHeight="1">
      <c r="A58" s="894" t="s">
        <v>279</v>
      </c>
      <c r="B58" s="900" t="s">
        <v>685</v>
      </c>
      <c r="C58" s="495"/>
      <c r="D58" s="894"/>
      <c r="E58" s="894"/>
      <c r="F58" s="894"/>
      <c r="G58" s="894"/>
      <c r="H58" s="894"/>
      <c r="I58" s="896"/>
      <c r="J58" s="897">
        <f>SUM(J59:J81)</f>
        <v>234415.08869800001</v>
      </c>
      <c r="K58" s="897">
        <f t="shared" ref="K58:P58" si="12">SUM(K59:K81)</f>
        <v>147729.9620886</v>
      </c>
      <c r="L58" s="897">
        <f t="shared" si="12"/>
        <v>92406</v>
      </c>
      <c r="M58" s="897">
        <f t="shared" si="12"/>
        <v>82846</v>
      </c>
      <c r="N58" s="897">
        <f t="shared" si="12"/>
        <v>92406</v>
      </c>
      <c r="O58" s="897">
        <f t="shared" si="12"/>
        <v>3326</v>
      </c>
      <c r="P58" s="897">
        <f t="shared" si="12"/>
        <v>3326</v>
      </c>
      <c r="Q58" s="910">
        <f>P58-O58</f>
        <v>0</v>
      </c>
      <c r="R58" s="936"/>
    </row>
    <row r="59" spans="1:22" s="939" customFormat="1" ht="67.5" customHeight="1">
      <c r="A59" s="408">
        <v>1</v>
      </c>
      <c r="B59" s="937" t="s">
        <v>2536</v>
      </c>
      <c r="C59" s="495" t="s">
        <v>89</v>
      </c>
      <c r="D59" s="403">
        <v>7870029</v>
      </c>
      <c r="E59" s="920" t="s">
        <v>790</v>
      </c>
      <c r="F59" s="904" t="s">
        <v>802</v>
      </c>
      <c r="G59" s="408" t="s">
        <v>1353</v>
      </c>
      <c r="H59" s="408" t="s">
        <v>1318</v>
      </c>
      <c r="I59" s="923" t="s">
        <v>2537</v>
      </c>
      <c r="J59" s="938">
        <v>11483</v>
      </c>
      <c r="K59" s="938">
        <f>J59*0.9</f>
        <v>10334.700000000001</v>
      </c>
      <c r="L59" s="491">
        <v>10335</v>
      </c>
      <c r="M59" s="491">
        <f>4000+3384+1847</f>
        <v>9231</v>
      </c>
      <c r="N59" s="491">
        <v>9231</v>
      </c>
      <c r="O59" s="491"/>
      <c r="P59" s="491">
        <v>1104</v>
      </c>
      <c r="Q59" s="408" t="s">
        <v>2538</v>
      </c>
      <c r="R59" s="917"/>
    </row>
    <row r="60" spans="1:22" s="908" customFormat="1" ht="107.25" customHeight="1">
      <c r="A60" s="408">
        <v>2</v>
      </c>
      <c r="B60" s="937" t="s">
        <v>2539</v>
      </c>
      <c r="C60" s="495" t="s">
        <v>89</v>
      </c>
      <c r="D60" s="403">
        <v>7870790</v>
      </c>
      <c r="E60" s="920" t="s">
        <v>790</v>
      </c>
      <c r="F60" s="940" t="s">
        <v>802</v>
      </c>
      <c r="G60" s="904" t="s">
        <v>2540</v>
      </c>
      <c r="H60" s="408" t="s">
        <v>673</v>
      </c>
      <c r="I60" s="910" t="s">
        <v>2541</v>
      </c>
      <c r="J60" s="938">
        <v>4700</v>
      </c>
      <c r="K60" s="938">
        <f>J60*0.8</f>
        <v>3760</v>
      </c>
      <c r="L60" s="491">
        <v>3360</v>
      </c>
      <c r="M60" s="491">
        <f>1200+2522</f>
        <v>3722</v>
      </c>
      <c r="N60" s="491">
        <v>3722</v>
      </c>
      <c r="O60" s="491">
        <f>N60-L60</f>
        <v>362</v>
      </c>
      <c r="P60" s="491"/>
      <c r="Q60" s="408" t="s">
        <v>1838</v>
      </c>
      <c r="R60" s="917"/>
    </row>
    <row r="61" spans="1:22" ht="65.25" customHeight="1">
      <c r="A61" s="408">
        <v>3</v>
      </c>
      <c r="B61" s="415" t="s">
        <v>2542</v>
      </c>
      <c r="C61" s="495" t="s">
        <v>89</v>
      </c>
      <c r="D61" s="403">
        <v>7870031</v>
      </c>
      <c r="E61" s="920" t="s">
        <v>790</v>
      </c>
      <c r="F61" s="941" t="s">
        <v>1406</v>
      </c>
      <c r="G61" s="408" t="s">
        <v>1247</v>
      </c>
      <c r="H61" s="408" t="s">
        <v>673</v>
      </c>
      <c r="I61" s="942" t="s">
        <v>3246</v>
      </c>
      <c r="J61" s="938">
        <v>5707</v>
      </c>
      <c r="K61" s="938">
        <f>J61*0.9</f>
        <v>5136.3</v>
      </c>
      <c r="L61" s="491">
        <v>5136</v>
      </c>
      <c r="M61" s="491">
        <f>3200+1800+33</f>
        <v>5033</v>
      </c>
      <c r="N61" s="491">
        <v>5033</v>
      </c>
      <c r="O61" s="491"/>
      <c r="P61" s="491">
        <v>103</v>
      </c>
      <c r="Q61" s="408" t="s">
        <v>2538</v>
      </c>
    </row>
    <row r="62" spans="1:22" s="908" customFormat="1" ht="65.25" customHeight="1">
      <c r="A62" s="408">
        <v>4</v>
      </c>
      <c r="B62" s="415" t="s">
        <v>2543</v>
      </c>
      <c r="C62" s="495" t="s">
        <v>89</v>
      </c>
      <c r="D62" s="403">
        <v>7870030</v>
      </c>
      <c r="E62" s="920" t="s">
        <v>790</v>
      </c>
      <c r="F62" s="941" t="s">
        <v>1406</v>
      </c>
      <c r="G62" s="408" t="s">
        <v>1240</v>
      </c>
      <c r="H62" s="408" t="s">
        <v>673</v>
      </c>
      <c r="I62" s="942" t="s">
        <v>3247</v>
      </c>
      <c r="J62" s="938">
        <v>7252</v>
      </c>
      <c r="K62" s="938">
        <f>J62*0.7</f>
        <v>5076.3999999999996</v>
      </c>
      <c r="L62" s="491">
        <v>5076</v>
      </c>
      <c r="M62" s="491">
        <v>5076</v>
      </c>
      <c r="N62" s="491">
        <v>5076</v>
      </c>
      <c r="O62" s="491"/>
      <c r="P62" s="491"/>
      <c r="Q62" s="408"/>
      <c r="R62" s="943"/>
    </row>
    <row r="63" spans="1:22" s="908" customFormat="1" ht="65.25" customHeight="1">
      <c r="A63" s="408">
        <v>5</v>
      </c>
      <c r="B63" s="415" t="s">
        <v>2544</v>
      </c>
      <c r="C63" s="495" t="s">
        <v>89</v>
      </c>
      <c r="D63" s="944">
        <v>7892139</v>
      </c>
      <c r="E63" s="920" t="s">
        <v>2545</v>
      </c>
      <c r="F63" s="941" t="s">
        <v>1406</v>
      </c>
      <c r="G63" s="408" t="s">
        <v>1469</v>
      </c>
      <c r="H63" s="408" t="s">
        <v>673</v>
      </c>
      <c r="I63" s="942" t="s">
        <v>3248</v>
      </c>
      <c r="J63" s="938">
        <v>418</v>
      </c>
      <c r="K63" s="938">
        <f>J63*0.3</f>
        <v>125.39999999999999</v>
      </c>
      <c r="L63" s="491">
        <v>116</v>
      </c>
      <c r="M63" s="491">
        <v>116</v>
      </c>
      <c r="N63" s="491">
        <v>116</v>
      </c>
      <c r="O63" s="491"/>
      <c r="P63" s="491"/>
      <c r="Q63" s="408"/>
      <c r="R63" s="909"/>
    </row>
    <row r="64" spans="1:22" s="908" customFormat="1" ht="56.25">
      <c r="A64" s="408">
        <v>6</v>
      </c>
      <c r="B64" s="415" t="s">
        <v>2546</v>
      </c>
      <c r="C64" s="495" t="s">
        <v>89</v>
      </c>
      <c r="D64" s="403">
        <v>7854922</v>
      </c>
      <c r="E64" s="920" t="s">
        <v>790</v>
      </c>
      <c r="F64" s="941" t="s">
        <v>1406</v>
      </c>
      <c r="G64" s="408"/>
      <c r="H64" s="408" t="s">
        <v>673</v>
      </c>
      <c r="I64" s="942" t="s">
        <v>3249</v>
      </c>
      <c r="J64" s="938">
        <v>2182</v>
      </c>
      <c r="K64" s="938">
        <f>J64*0.8</f>
        <v>1745.6000000000001</v>
      </c>
      <c r="L64" s="491">
        <v>1746</v>
      </c>
      <c r="M64" s="491">
        <v>1746</v>
      </c>
      <c r="N64" s="491">
        <v>1746</v>
      </c>
      <c r="O64" s="491"/>
      <c r="P64" s="491"/>
      <c r="Q64" s="408"/>
      <c r="R64" s="943"/>
    </row>
    <row r="65" spans="1:19" s="908" customFormat="1" ht="63.75" customHeight="1">
      <c r="A65" s="408">
        <v>7</v>
      </c>
      <c r="B65" s="945" t="s">
        <v>2547</v>
      </c>
      <c r="C65" s="495" t="s">
        <v>89</v>
      </c>
      <c r="D65" s="403">
        <v>7873192</v>
      </c>
      <c r="E65" s="920" t="s">
        <v>790</v>
      </c>
      <c r="F65" s="946" t="s">
        <v>2548</v>
      </c>
      <c r="G65" s="408" t="s">
        <v>1353</v>
      </c>
      <c r="H65" s="408" t="s">
        <v>673</v>
      </c>
      <c r="I65" s="942" t="s">
        <v>3250</v>
      </c>
      <c r="J65" s="491">
        <v>5600</v>
      </c>
      <c r="K65" s="938">
        <f>J65*0.9</f>
        <v>5040</v>
      </c>
      <c r="L65" s="491">
        <v>5040</v>
      </c>
      <c r="M65" s="491">
        <f>2100+1950+751</f>
        <v>4801</v>
      </c>
      <c r="N65" s="491">
        <v>4801</v>
      </c>
      <c r="O65" s="491"/>
      <c r="P65" s="491">
        <v>239</v>
      </c>
      <c r="Q65" s="408" t="s">
        <v>2538</v>
      </c>
      <c r="R65" s="943"/>
    </row>
    <row r="66" spans="1:19" s="908" customFormat="1" ht="57.75" customHeight="1">
      <c r="A66" s="408">
        <v>8</v>
      </c>
      <c r="B66" s="945" t="s">
        <v>2549</v>
      </c>
      <c r="C66" s="495" t="s">
        <v>89</v>
      </c>
      <c r="D66" s="403">
        <v>7909491</v>
      </c>
      <c r="E66" s="408" t="s">
        <v>2550</v>
      </c>
      <c r="F66" s="946" t="s">
        <v>2551</v>
      </c>
      <c r="G66" s="408" t="s">
        <v>1247</v>
      </c>
      <c r="H66" s="408" t="s">
        <v>673</v>
      </c>
      <c r="I66" s="942" t="s">
        <v>3251</v>
      </c>
      <c r="J66" s="491">
        <v>2765</v>
      </c>
      <c r="K66" s="938">
        <f>J66*0.7</f>
        <v>1935.4999999999998</v>
      </c>
      <c r="L66" s="491">
        <v>1936</v>
      </c>
      <c r="M66" s="491">
        <v>1717</v>
      </c>
      <c r="N66" s="491">
        <v>1717</v>
      </c>
      <c r="O66" s="491"/>
      <c r="P66" s="491">
        <v>219</v>
      </c>
      <c r="Q66" s="408" t="s">
        <v>2538</v>
      </c>
      <c r="R66" s="943"/>
    </row>
    <row r="67" spans="1:19" s="908" customFormat="1" ht="62.25" customHeight="1">
      <c r="A67" s="408">
        <v>9</v>
      </c>
      <c r="B67" s="945" t="s">
        <v>2552</v>
      </c>
      <c r="C67" s="495" t="s">
        <v>89</v>
      </c>
      <c r="D67" s="403">
        <v>7873188</v>
      </c>
      <c r="E67" s="920" t="s">
        <v>790</v>
      </c>
      <c r="F67" s="946" t="s">
        <v>2551</v>
      </c>
      <c r="G67" s="408" t="s">
        <v>1469</v>
      </c>
      <c r="H67" s="408" t="s">
        <v>1318</v>
      </c>
      <c r="I67" s="942" t="s">
        <v>3252</v>
      </c>
      <c r="J67" s="491">
        <v>14636.088698</v>
      </c>
      <c r="K67" s="938">
        <f>J67*0.7</f>
        <v>10245.262088599999</v>
      </c>
      <c r="L67" s="491">
        <v>10245</v>
      </c>
      <c r="M67" s="491">
        <v>10245</v>
      </c>
      <c r="N67" s="491">
        <v>10245</v>
      </c>
      <c r="O67" s="491"/>
      <c r="P67" s="491"/>
      <c r="Q67" s="495"/>
      <c r="R67" s="943"/>
    </row>
    <row r="68" spans="1:19" s="908" customFormat="1" ht="37.5">
      <c r="A68" s="408">
        <v>10</v>
      </c>
      <c r="B68" s="947" t="s">
        <v>2553</v>
      </c>
      <c r="C68" s="495" t="s">
        <v>89</v>
      </c>
      <c r="D68" s="904">
        <v>7944670</v>
      </c>
      <c r="E68" s="920" t="s">
        <v>790</v>
      </c>
      <c r="F68" s="904" t="s">
        <v>2554</v>
      </c>
      <c r="G68" s="408" t="s">
        <v>1279</v>
      </c>
      <c r="H68" s="408" t="s">
        <v>1318</v>
      </c>
      <c r="I68" s="942" t="s">
        <v>3253</v>
      </c>
      <c r="J68" s="491">
        <v>14950</v>
      </c>
      <c r="K68" s="938">
        <f>J68*0.9</f>
        <v>13455</v>
      </c>
      <c r="L68" s="491">
        <v>13455</v>
      </c>
      <c r="M68" s="491">
        <f>5700+2000+5154</f>
        <v>12854</v>
      </c>
      <c r="N68" s="491">
        <v>12854</v>
      </c>
      <c r="O68" s="491"/>
      <c r="P68" s="491">
        <f>L68-N68</f>
        <v>601</v>
      </c>
      <c r="Q68" s="408" t="s">
        <v>2538</v>
      </c>
      <c r="R68" s="943"/>
    </row>
    <row r="69" spans="1:19" ht="72.75" customHeight="1">
      <c r="A69" s="408">
        <v>11</v>
      </c>
      <c r="B69" s="937" t="s">
        <v>1391</v>
      </c>
      <c r="C69" s="495" t="s">
        <v>89</v>
      </c>
      <c r="D69" s="216" t="s">
        <v>1392</v>
      </c>
      <c r="E69" s="948" t="s">
        <v>790</v>
      </c>
      <c r="F69" s="949" t="s">
        <v>815</v>
      </c>
      <c r="G69" s="495" t="s">
        <v>1279</v>
      </c>
      <c r="H69" s="495" t="s">
        <v>673</v>
      </c>
      <c r="I69" s="495" t="s">
        <v>2555</v>
      </c>
      <c r="J69" s="906">
        <v>13964</v>
      </c>
      <c r="K69" s="906">
        <v>5000</v>
      </c>
      <c r="L69" s="950">
        <v>5000</v>
      </c>
      <c r="M69" s="950">
        <v>5000</v>
      </c>
      <c r="N69" s="950">
        <v>5000</v>
      </c>
      <c r="O69" s="491"/>
      <c r="P69" s="950"/>
      <c r="Q69" s="495"/>
      <c r="R69" s="951"/>
    </row>
    <row r="70" spans="1:19" ht="67.5" customHeight="1">
      <c r="A70" s="408">
        <v>12</v>
      </c>
      <c r="B70" s="937" t="s">
        <v>1393</v>
      </c>
      <c r="C70" s="495" t="s">
        <v>89</v>
      </c>
      <c r="D70" s="216" t="s">
        <v>1394</v>
      </c>
      <c r="E70" s="948" t="s">
        <v>790</v>
      </c>
      <c r="F70" s="949" t="s">
        <v>815</v>
      </c>
      <c r="G70" s="495" t="s">
        <v>1279</v>
      </c>
      <c r="H70" s="495" t="s">
        <v>673</v>
      </c>
      <c r="I70" s="495" t="s">
        <v>1907</v>
      </c>
      <c r="J70" s="906">
        <v>5800</v>
      </c>
      <c r="K70" s="906">
        <v>1000</v>
      </c>
      <c r="L70" s="491">
        <v>1000</v>
      </c>
      <c r="M70" s="950">
        <v>0</v>
      </c>
      <c r="N70" s="950">
        <v>0</v>
      </c>
      <c r="O70" s="491"/>
      <c r="P70" s="950">
        <v>1000</v>
      </c>
      <c r="Q70" s="495" t="s">
        <v>2538</v>
      </c>
      <c r="R70" s="951"/>
    </row>
    <row r="71" spans="1:19" ht="69" customHeight="1">
      <c r="A71" s="408">
        <v>13</v>
      </c>
      <c r="B71" s="937" t="s">
        <v>1395</v>
      </c>
      <c r="C71" s="495" t="s">
        <v>89</v>
      </c>
      <c r="D71" s="216" t="s">
        <v>1396</v>
      </c>
      <c r="E71" s="948" t="s">
        <v>790</v>
      </c>
      <c r="F71" s="949" t="s">
        <v>815</v>
      </c>
      <c r="G71" s="495" t="s">
        <v>1279</v>
      </c>
      <c r="H71" s="495" t="s">
        <v>673</v>
      </c>
      <c r="I71" s="495" t="s">
        <v>2556</v>
      </c>
      <c r="J71" s="906">
        <v>8231</v>
      </c>
      <c r="K71" s="906">
        <v>1400</v>
      </c>
      <c r="L71" s="950">
        <v>1400</v>
      </c>
      <c r="M71" s="950">
        <v>1340</v>
      </c>
      <c r="N71" s="950">
        <v>1340</v>
      </c>
      <c r="O71" s="491"/>
      <c r="P71" s="950">
        <v>60</v>
      </c>
      <c r="Q71" s="495" t="s">
        <v>2538</v>
      </c>
      <c r="R71" s="951"/>
    </row>
    <row r="72" spans="1:19" s="954" customFormat="1" ht="37.5">
      <c r="A72" s="408">
        <v>14</v>
      </c>
      <c r="B72" s="937" t="s">
        <v>2557</v>
      </c>
      <c r="C72" s="495" t="s">
        <v>89</v>
      </c>
      <c r="D72" s="920">
        <v>8054870</v>
      </c>
      <c r="E72" s="920" t="s">
        <v>790</v>
      </c>
      <c r="F72" s="408" t="s">
        <v>1417</v>
      </c>
      <c r="G72" s="408" t="s">
        <v>1353</v>
      </c>
      <c r="H72" s="408" t="s">
        <v>1253</v>
      </c>
      <c r="I72" s="495" t="s">
        <v>2558</v>
      </c>
      <c r="J72" s="491">
        <v>12055</v>
      </c>
      <c r="K72" s="491">
        <f>J72*0.8</f>
        <v>9644</v>
      </c>
      <c r="L72" s="931">
        <v>2800</v>
      </c>
      <c r="M72" s="931">
        <v>2800</v>
      </c>
      <c r="N72" s="931">
        <f>L72+O72</f>
        <v>4235</v>
      </c>
      <c r="O72" s="491">
        <f>756+679</f>
        <v>1435</v>
      </c>
      <c r="P72" s="931"/>
      <c r="Q72" s="910" t="s">
        <v>2381</v>
      </c>
      <c r="R72" s="952"/>
      <c r="S72" s="953"/>
    </row>
    <row r="73" spans="1:19" s="954" customFormat="1" ht="56.25">
      <c r="A73" s="408">
        <v>15</v>
      </c>
      <c r="B73" s="937" t="s">
        <v>2559</v>
      </c>
      <c r="C73" s="495" t="s">
        <v>89</v>
      </c>
      <c r="D73" s="920">
        <v>8054869</v>
      </c>
      <c r="E73" s="920" t="s">
        <v>790</v>
      </c>
      <c r="F73" s="408" t="s">
        <v>1417</v>
      </c>
      <c r="G73" s="408" t="s">
        <v>1240</v>
      </c>
      <c r="H73" s="408" t="s">
        <v>1253</v>
      </c>
      <c r="I73" s="942" t="s">
        <v>2560</v>
      </c>
      <c r="J73" s="491">
        <v>9955</v>
      </c>
      <c r="K73" s="491">
        <f>J73*0.5</f>
        <v>4977.5</v>
      </c>
      <c r="L73" s="931">
        <v>2402</v>
      </c>
      <c r="M73" s="931">
        <v>2400</v>
      </c>
      <c r="N73" s="931">
        <v>2402</v>
      </c>
      <c r="O73" s="491"/>
      <c r="P73" s="931"/>
      <c r="Q73" s="955"/>
      <c r="R73" s="952"/>
      <c r="S73" s="953"/>
    </row>
    <row r="74" spans="1:19" s="954" customFormat="1" ht="56.25">
      <c r="A74" s="408">
        <v>16</v>
      </c>
      <c r="B74" s="937" t="s">
        <v>2561</v>
      </c>
      <c r="C74" s="495" t="s">
        <v>89</v>
      </c>
      <c r="D74" s="920">
        <v>8062387</v>
      </c>
      <c r="E74" s="920" t="s">
        <v>790</v>
      </c>
      <c r="F74" s="408" t="s">
        <v>1385</v>
      </c>
      <c r="G74" s="408" t="s">
        <v>1240</v>
      </c>
      <c r="H74" s="408" t="s">
        <v>1253</v>
      </c>
      <c r="I74" s="942" t="s">
        <v>2562</v>
      </c>
      <c r="J74" s="491">
        <v>14995</v>
      </c>
      <c r="K74" s="491">
        <f>J74*0.8</f>
        <v>11996</v>
      </c>
      <c r="L74" s="931">
        <v>3979</v>
      </c>
      <c r="M74" s="931">
        <f>1520+2159</f>
        <v>3679</v>
      </c>
      <c r="N74" s="931">
        <v>3979</v>
      </c>
      <c r="O74" s="491"/>
      <c r="P74" s="931"/>
      <c r="Q74" s="910"/>
      <c r="R74" s="909"/>
      <c r="S74" s="953"/>
    </row>
    <row r="75" spans="1:19" s="954" customFormat="1" ht="37.5">
      <c r="A75" s="408">
        <v>17</v>
      </c>
      <c r="B75" s="937" t="s">
        <v>2563</v>
      </c>
      <c r="C75" s="495" t="s">
        <v>89</v>
      </c>
      <c r="D75" s="920">
        <v>8024228</v>
      </c>
      <c r="E75" s="920" t="s">
        <v>790</v>
      </c>
      <c r="F75" s="408" t="s">
        <v>1385</v>
      </c>
      <c r="G75" s="408" t="s">
        <v>2564</v>
      </c>
      <c r="H75" s="408" t="s">
        <v>1253</v>
      </c>
      <c r="I75" s="942" t="s">
        <v>2565</v>
      </c>
      <c r="J75" s="491">
        <v>5120</v>
      </c>
      <c r="K75" s="491">
        <f>J75*0.7</f>
        <v>3584</v>
      </c>
      <c r="L75" s="931">
        <v>2100</v>
      </c>
      <c r="M75" s="931">
        <v>2100</v>
      </c>
      <c r="N75" s="931">
        <v>2479</v>
      </c>
      <c r="O75" s="491">
        <f>N75-L75</f>
        <v>379</v>
      </c>
      <c r="P75" s="931"/>
      <c r="Q75" s="942" t="s">
        <v>2566</v>
      </c>
      <c r="R75" s="956"/>
      <c r="S75" s="953" t="s">
        <v>2567</v>
      </c>
    </row>
    <row r="76" spans="1:19" s="954" customFormat="1" ht="56.25">
      <c r="A76" s="408">
        <v>18</v>
      </c>
      <c r="B76" s="937" t="s">
        <v>2568</v>
      </c>
      <c r="C76" s="495" t="s">
        <v>89</v>
      </c>
      <c r="D76" s="920">
        <v>8054868</v>
      </c>
      <c r="E76" s="920" t="s">
        <v>790</v>
      </c>
      <c r="F76" s="408" t="s">
        <v>1422</v>
      </c>
      <c r="G76" s="408" t="s">
        <v>1353</v>
      </c>
      <c r="H76" s="408" t="s">
        <v>1253</v>
      </c>
      <c r="I76" s="942" t="s">
        <v>2569</v>
      </c>
      <c r="J76" s="491">
        <v>13511</v>
      </c>
      <c r="K76" s="491">
        <f>J76*0.8</f>
        <v>10808.800000000001</v>
      </c>
      <c r="L76" s="931">
        <v>6000</v>
      </c>
      <c r="M76" s="931">
        <v>3000</v>
      </c>
      <c r="N76" s="931">
        <v>6000</v>
      </c>
      <c r="O76" s="491"/>
      <c r="P76" s="931"/>
      <c r="Q76" s="910"/>
      <c r="R76" s="909"/>
      <c r="S76" s="953"/>
    </row>
    <row r="77" spans="1:19" s="954" customFormat="1" ht="56.25">
      <c r="A77" s="408">
        <v>19</v>
      </c>
      <c r="B77" s="937" t="s">
        <v>2570</v>
      </c>
      <c r="C77" s="495" t="s">
        <v>89</v>
      </c>
      <c r="D77" s="920">
        <v>8058046</v>
      </c>
      <c r="E77" s="920" t="s">
        <v>790</v>
      </c>
      <c r="F77" s="408" t="s">
        <v>1425</v>
      </c>
      <c r="G77" s="408" t="s">
        <v>1353</v>
      </c>
      <c r="H77" s="408" t="s">
        <v>1253</v>
      </c>
      <c r="I77" s="942" t="s">
        <v>2571</v>
      </c>
      <c r="J77" s="491">
        <v>3600</v>
      </c>
      <c r="K77" s="491">
        <f>J77*0.8</f>
        <v>2880</v>
      </c>
      <c r="L77" s="931">
        <v>2880</v>
      </c>
      <c r="M77" s="931">
        <v>2551</v>
      </c>
      <c r="N77" s="931">
        <v>2880</v>
      </c>
      <c r="O77" s="491"/>
      <c r="P77" s="931"/>
      <c r="Q77" s="910"/>
      <c r="R77" s="909"/>
      <c r="S77" s="953"/>
    </row>
    <row r="78" spans="1:19" s="954" customFormat="1" ht="37.5">
      <c r="A78" s="408">
        <v>20</v>
      </c>
      <c r="B78" s="957" t="s">
        <v>2572</v>
      </c>
      <c r="C78" s="495" t="s">
        <v>89</v>
      </c>
      <c r="D78" s="958">
        <v>8058047</v>
      </c>
      <c r="E78" s="958" t="s">
        <v>790</v>
      </c>
      <c r="F78" s="941" t="s">
        <v>1425</v>
      </c>
      <c r="G78" s="941" t="s">
        <v>1240</v>
      </c>
      <c r="H78" s="408" t="s">
        <v>1253</v>
      </c>
      <c r="I78" s="959" t="s">
        <v>2573</v>
      </c>
      <c r="J78" s="960">
        <v>14995</v>
      </c>
      <c r="K78" s="960">
        <f>J78*0.5</f>
        <v>7497.5</v>
      </c>
      <c r="L78" s="931">
        <v>4000</v>
      </c>
      <c r="M78" s="931">
        <v>4000</v>
      </c>
      <c r="N78" s="931">
        <f>L78+O78</f>
        <v>4210</v>
      </c>
      <c r="O78" s="491">
        <v>210</v>
      </c>
      <c r="P78" s="931"/>
      <c r="Q78" s="942" t="s">
        <v>2566</v>
      </c>
      <c r="R78" s="917"/>
      <c r="S78" s="953"/>
    </row>
    <row r="79" spans="1:19" ht="37.5">
      <c r="A79" s="408">
        <v>21</v>
      </c>
      <c r="B79" s="937" t="s">
        <v>2574</v>
      </c>
      <c r="C79" s="495" t="s">
        <v>89</v>
      </c>
      <c r="D79" s="403">
        <v>8024229</v>
      </c>
      <c r="E79" s="920" t="s">
        <v>790</v>
      </c>
      <c r="F79" s="408" t="s">
        <v>1425</v>
      </c>
      <c r="G79" s="408" t="s">
        <v>2575</v>
      </c>
      <c r="H79" s="408" t="s">
        <v>1253</v>
      </c>
      <c r="I79" s="408" t="s">
        <v>2576</v>
      </c>
      <c r="J79" s="931">
        <v>4200</v>
      </c>
      <c r="K79" s="491">
        <f>J79*0.7</f>
        <v>2940</v>
      </c>
      <c r="L79" s="931">
        <v>2000</v>
      </c>
      <c r="M79" s="931">
        <f>1000+435</f>
        <v>1435</v>
      </c>
      <c r="N79" s="931">
        <f>2000+940</f>
        <v>2940</v>
      </c>
      <c r="O79" s="491">
        <v>940</v>
      </c>
      <c r="P79" s="931"/>
      <c r="Q79" s="942" t="s">
        <v>2566</v>
      </c>
      <c r="R79" s="952"/>
      <c r="S79" s="953"/>
    </row>
    <row r="80" spans="1:19" s="1191" customFormat="1" ht="56.25">
      <c r="A80" s="408">
        <v>22</v>
      </c>
      <c r="B80" s="961" t="s">
        <v>2577</v>
      </c>
      <c r="C80" s="495" t="s">
        <v>89</v>
      </c>
      <c r="D80" s="408"/>
      <c r="E80" s="948" t="s">
        <v>790</v>
      </c>
      <c r="F80" s="910" t="s">
        <v>2578</v>
      </c>
      <c r="G80" s="962"/>
      <c r="H80" s="408" t="s">
        <v>1334</v>
      </c>
      <c r="I80" s="910"/>
      <c r="J80" s="491">
        <v>47000</v>
      </c>
      <c r="K80" s="491">
        <v>23500</v>
      </c>
      <c r="L80" s="916">
        <v>1000</v>
      </c>
      <c r="M80" s="916">
        <v>0</v>
      </c>
      <c r="N80" s="931">
        <v>1000</v>
      </c>
      <c r="O80" s="491"/>
      <c r="P80" s="916"/>
      <c r="Q80" s="412"/>
      <c r="R80" s="1190"/>
      <c r="S80" s="953"/>
    </row>
    <row r="81" spans="1:19" s="1191" customFormat="1" ht="56.25">
      <c r="A81" s="408">
        <v>23</v>
      </c>
      <c r="B81" s="961" t="s">
        <v>2579</v>
      </c>
      <c r="C81" s="495" t="s">
        <v>89</v>
      </c>
      <c r="D81" s="408"/>
      <c r="E81" s="948" t="s">
        <v>790</v>
      </c>
      <c r="F81" s="910" t="s">
        <v>2578</v>
      </c>
      <c r="G81" s="962"/>
      <c r="H81" s="408" t="s">
        <v>1334</v>
      </c>
      <c r="I81" s="910" t="s">
        <v>2580</v>
      </c>
      <c r="J81" s="491">
        <v>11296</v>
      </c>
      <c r="K81" s="491">
        <f>J81*50%</f>
        <v>5648</v>
      </c>
      <c r="L81" s="916">
        <v>1400</v>
      </c>
      <c r="M81" s="916">
        <v>0</v>
      </c>
      <c r="N81" s="931">
        <v>1400</v>
      </c>
      <c r="O81" s="491"/>
      <c r="P81" s="916"/>
      <c r="Q81" s="412"/>
      <c r="R81" s="1190"/>
      <c r="S81" s="953"/>
    </row>
    <row r="82" spans="1:19" s="883" customFormat="1" ht="40.5" customHeight="1">
      <c r="A82" s="894" t="s">
        <v>125</v>
      </c>
      <c r="B82" s="895" t="s">
        <v>1436</v>
      </c>
      <c r="C82" s="495"/>
      <c r="D82" s="894"/>
      <c r="E82" s="894"/>
      <c r="F82" s="894"/>
      <c r="G82" s="894"/>
      <c r="H82" s="894"/>
      <c r="I82" s="896"/>
      <c r="J82" s="897">
        <f>J83</f>
        <v>77316</v>
      </c>
      <c r="K82" s="897">
        <f t="shared" ref="K82:P82" si="13">K83</f>
        <v>54981.799999999996</v>
      </c>
      <c r="L82" s="897">
        <f t="shared" si="13"/>
        <v>50162</v>
      </c>
      <c r="M82" s="897">
        <f t="shared" si="13"/>
        <v>45919</v>
      </c>
      <c r="N82" s="897">
        <f t="shared" si="13"/>
        <v>50162</v>
      </c>
      <c r="O82" s="897">
        <f t="shared" si="13"/>
        <v>2168</v>
      </c>
      <c r="P82" s="897">
        <f t="shared" si="13"/>
        <v>2168</v>
      </c>
      <c r="Q82" s="894"/>
      <c r="R82" s="898"/>
      <c r="S82" s="963"/>
    </row>
    <row r="83" spans="1:19" s="883" customFormat="1" ht="45.75" customHeight="1">
      <c r="A83" s="894" t="s">
        <v>279</v>
      </c>
      <c r="B83" s="900" t="s">
        <v>685</v>
      </c>
      <c r="C83" s="495"/>
      <c r="D83" s="894"/>
      <c r="E83" s="894"/>
      <c r="F83" s="894"/>
      <c r="G83" s="894"/>
      <c r="H83" s="894"/>
      <c r="I83" s="896"/>
      <c r="J83" s="964">
        <f>SUM(J84:J94)</f>
        <v>77316</v>
      </c>
      <c r="K83" s="964">
        <f t="shared" ref="K83:P83" si="14">SUM(K84:K94)</f>
        <v>54981.799999999996</v>
      </c>
      <c r="L83" s="964">
        <f t="shared" si="14"/>
        <v>50162</v>
      </c>
      <c r="M83" s="964">
        <f t="shared" si="14"/>
        <v>45919</v>
      </c>
      <c r="N83" s="964">
        <f t="shared" si="14"/>
        <v>50162</v>
      </c>
      <c r="O83" s="964">
        <f t="shared" si="14"/>
        <v>2168</v>
      </c>
      <c r="P83" s="964">
        <f t="shared" si="14"/>
        <v>2168</v>
      </c>
      <c r="Q83" s="894"/>
      <c r="R83" s="898"/>
      <c r="S83" s="963"/>
    </row>
    <row r="84" spans="1:19" s="963" customFormat="1" ht="37.5">
      <c r="A84" s="929">
        <v>1</v>
      </c>
      <c r="B84" s="965" t="s">
        <v>2581</v>
      </c>
      <c r="C84" s="495" t="s">
        <v>89</v>
      </c>
      <c r="D84" s="403">
        <v>7879238</v>
      </c>
      <c r="E84" s="949" t="s">
        <v>744</v>
      </c>
      <c r="F84" s="920" t="s">
        <v>1465</v>
      </c>
      <c r="G84" s="920" t="s">
        <v>1240</v>
      </c>
      <c r="H84" s="408" t="s">
        <v>673</v>
      </c>
      <c r="I84" s="923" t="s">
        <v>2582</v>
      </c>
      <c r="J84" s="966">
        <v>6126</v>
      </c>
      <c r="K84" s="491">
        <f>J84*0.7</f>
        <v>4288.2</v>
      </c>
      <c r="L84" s="906">
        <v>4227</v>
      </c>
      <c r="M84" s="491">
        <v>3970</v>
      </c>
      <c r="N84" s="491">
        <v>3970</v>
      </c>
      <c r="O84" s="491"/>
      <c r="P84" s="491">
        <v>257</v>
      </c>
      <c r="Q84" s="910" t="s">
        <v>2538</v>
      </c>
      <c r="R84" s="936"/>
      <c r="S84" s="908"/>
    </row>
    <row r="85" spans="1:19" s="963" customFormat="1" ht="84" customHeight="1">
      <c r="A85" s="929">
        <v>2</v>
      </c>
      <c r="B85" s="965" t="s">
        <v>2583</v>
      </c>
      <c r="C85" s="495" t="s">
        <v>89</v>
      </c>
      <c r="D85" s="403">
        <v>7890951</v>
      </c>
      <c r="E85" s="949" t="s">
        <v>744</v>
      </c>
      <c r="F85" s="920" t="s">
        <v>1465</v>
      </c>
      <c r="G85" s="920" t="s">
        <v>1247</v>
      </c>
      <c r="H85" s="408" t="s">
        <v>673</v>
      </c>
      <c r="I85" s="923" t="s">
        <v>2584</v>
      </c>
      <c r="J85" s="966">
        <v>4400</v>
      </c>
      <c r="K85" s="491">
        <f>J85*0.7</f>
        <v>3080</v>
      </c>
      <c r="L85" s="906">
        <v>3080</v>
      </c>
      <c r="M85" s="491">
        <v>2870</v>
      </c>
      <c r="N85" s="491">
        <v>2870</v>
      </c>
      <c r="O85" s="491"/>
      <c r="P85" s="491">
        <v>210</v>
      </c>
      <c r="Q85" s="910" t="s">
        <v>2538</v>
      </c>
      <c r="R85" s="909"/>
      <c r="S85" s="908"/>
    </row>
    <row r="86" spans="1:19" s="908" customFormat="1" ht="88.5" customHeight="1">
      <c r="A86" s="929">
        <v>3</v>
      </c>
      <c r="B86" s="965" t="s">
        <v>2585</v>
      </c>
      <c r="C86" s="495" t="s">
        <v>89</v>
      </c>
      <c r="D86" s="403">
        <v>7890950</v>
      </c>
      <c r="E86" s="949" t="s">
        <v>744</v>
      </c>
      <c r="F86" s="920" t="s">
        <v>1465</v>
      </c>
      <c r="G86" s="920" t="s">
        <v>1240</v>
      </c>
      <c r="H86" s="408" t="s">
        <v>673</v>
      </c>
      <c r="I86" s="923" t="s">
        <v>2586</v>
      </c>
      <c r="J86" s="966">
        <v>7137</v>
      </c>
      <c r="K86" s="491">
        <f>J86*0.7</f>
        <v>4995.8999999999996</v>
      </c>
      <c r="L86" s="906">
        <v>4996</v>
      </c>
      <c r="M86" s="491">
        <v>4619</v>
      </c>
      <c r="N86" s="491">
        <v>4619</v>
      </c>
      <c r="O86" s="491"/>
      <c r="P86" s="491">
        <v>377</v>
      </c>
      <c r="Q86" s="910" t="s">
        <v>2538</v>
      </c>
      <c r="R86" s="909"/>
      <c r="S86" s="926"/>
    </row>
    <row r="87" spans="1:19" s="908" customFormat="1" ht="52.5" customHeight="1">
      <c r="A87" s="929">
        <v>4</v>
      </c>
      <c r="B87" s="965" t="s">
        <v>2587</v>
      </c>
      <c r="C87" s="495" t="s">
        <v>89</v>
      </c>
      <c r="D87" s="920">
        <v>7974988</v>
      </c>
      <c r="E87" s="949" t="s">
        <v>2588</v>
      </c>
      <c r="F87" s="920" t="s">
        <v>1465</v>
      </c>
      <c r="G87" s="920" t="s">
        <v>1242</v>
      </c>
      <c r="H87" s="408" t="s">
        <v>673</v>
      </c>
      <c r="I87" s="910" t="s">
        <v>2589</v>
      </c>
      <c r="J87" s="491">
        <v>2200</v>
      </c>
      <c r="K87" s="491">
        <f>J87*0.3</f>
        <v>660</v>
      </c>
      <c r="L87" s="906">
        <v>660</v>
      </c>
      <c r="M87" s="491">
        <v>660</v>
      </c>
      <c r="N87" s="491">
        <v>660</v>
      </c>
      <c r="O87" s="491"/>
      <c r="P87" s="491"/>
      <c r="Q87" s="495"/>
      <c r="R87" s="943"/>
    </row>
    <row r="88" spans="1:19" s="926" customFormat="1" ht="56.25">
      <c r="A88" s="929">
        <v>5</v>
      </c>
      <c r="B88" s="965" t="s">
        <v>2590</v>
      </c>
      <c r="C88" s="495" t="s">
        <v>89</v>
      </c>
      <c r="D88" s="403">
        <v>7890948</v>
      </c>
      <c r="E88" s="949" t="s">
        <v>744</v>
      </c>
      <c r="F88" s="920" t="s">
        <v>1465</v>
      </c>
      <c r="G88" s="920" t="s">
        <v>2591</v>
      </c>
      <c r="H88" s="408" t="s">
        <v>673</v>
      </c>
      <c r="I88" s="923" t="s">
        <v>2592</v>
      </c>
      <c r="J88" s="966">
        <v>3000</v>
      </c>
      <c r="K88" s="491">
        <f>J88*0.8</f>
        <v>2400</v>
      </c>
      <c r="L88" s="906">
        <v>2400</v>
      </c>
      <c r="M88" s="491">
        <v>2366</v>
      </c>
      <c r="N88" s="491">
        <v>2366</v>
      </c>
      <c r="O88" s="491"/>
      <c r="P88" s="491">
        <v>34</v>
      </c>
      <c r="Q88" s="910" t="s">
        <v>2538</v>
      </c>
      <c r="R88" s="967"/>
      <c r="S88" s="908"/>
    </row>
    <row r="89" spans="1:19" s="908" customFormat="1" ht="75">
      <c r="A89" s="929">
        <v>6</v>
      </c>
      <c r="B89" s="965" t="s">
        <v>2593</v>
      </c>
      <c r="C89" s="495" t="s">
        <v>89</v>
      </c>
      <c r="D89" s="403">
        <v>7870627</v>
      </c>
      <c r="E89" s="949" t="s">
        <v>744</v>
      </c>
      <c r="F89" s="920" t="s">
        <v>773</v>
      </c>
      <c r="G89" s="920" t="s">
        <v>1279</v>
      </c>
      <c r="H89" s="408" t="s">
        <v>673</v>
      </c>
      <c r="I89" s="495" t="s">
        <v>2594</v>
      </c>
      <c r="J89" s="966">
        <v>15300</v>
      </c>
      <c r="K89" s="491">
        <f>J89*0.9</f>
        <v>13770</v>
      </c>
      <c r="L89" s="906">
        <v>13000</v>
      </c>
      <c r="M89" s="491">
        <f>3500+8486+1200</f>
        <v>13186</v>
      </c>
      <c r="N89" s="491">
        <v>13186</v>
      </c>
      <c r="O89" s="491">
        <f>N89-L89</f>
        <v>186</v>
      </c>
      <c r="P89" s="491"/>
      <c r="Q89" s="408" t="s">
        <v>2595</v>
      </c>
      <c r="R89" s="943"/>
    </row>
    <row r="90" spans="1:19" s="908" customFormat="1" ht="75">
      <c r="A90" s="929">
        <v>7</v>
      </c>
      <c r="B90" s="965" t="s">
        <v>2596</v>
      </c>
      <c r="C90" s="495" t="s">
        <v>89</v>
      </c>
      <c r="D90" s="944">
        <v>7888054</v>
      </c>
      <c r="E90" s="949" t="s">
        <v>744</v>
      </c>
      <c r="F90" s="920" t="s">
        <v>773</v>
      </c>
      <c r="G90" s="920" t="s">
        <v>2597</v>
      </c>
      <c r="H90" s="408" t="s">
        <v>673</v>
      </c>
      <c r="I90" s="923" t="s">
        <v>2598</v>
      </c>
      <c r="J90" s="966">
        <v>4500</v>
      </c>
      <c r="K90" s="491">
        <f>J90*0.8</f>
        <v>3600</v>
      </c>
      <c r="L90" s="906">
        <v>3600</v>
      </c>
      <c r="M90" s="491">
        <v>2889</v>
      </c>
      <c r="N90" s="491">
        <v>2889</v>
      </c>
      <c r="O90" s="491"/>
      <c r="P90" s="491">
        <v>711</v>
      </c>
      <c r="Q90" s="910" t="s">
        <v>2538</v>
      </c>
      <c r="R90" s="936"/>
    </row>
    <row r="91" spans="1:19" s="908" customFormat="1" ht="62.25" customHeight="1">
      <c r="A91" s="929">
        <v>8</v>
      </c>
      <c r="B91" s="965" t="s">
        <v>2599</v>
      </c>
      <c r="C91" s="495" t="s">
        <v>89</v>
      </c>
      <c r="D91" s="403">
        <v>7866691</v>
      </c>
      <c r="E91" s="408" t="s">
        <v>2600</v>
      </c>
      <c r="F91" s="920" t="s">
        <v>773</v>
      </c>
      <c r="G91" s="920" t="s">
        <v>2601</v>
      </c>
      <c r="H91" s="408" t="s">
        <v>673</v>
      </c>
      <c r="I91" s="923" t="s">
        <v>2602</v>
      </c>
      <c r="J91" s="966">
        <v>8253</v>
      </c>
      <c r="K91" s="491">
        <f>J91*0.9</f>
        <v>7427.7</v>
      </c>
      <c r="L91" s="906">
        <v>7428</v>
      </c>
      <c r="M91" s="491">
        <v>7196</v>
      </c>
      <c r="N91" s="491">
        <v>7196</v>
      </c>
      <c r="O91" s="491"/>
      <c r="P91" s="491">
        <v>232</v>
      </c>
      <c r="Q91" s="910" t="s">
        <v>2538</v>
      </c>
      <c r="R91" s="936"/>
      <c r="S91" s="968"/>
    </row>
    <row r="92" spans="1:19" s="908" customFormat="1" ht="63.75" customHeight="1">
      <c r="A92" s="929">
        <v>9</v>
      </c>
      <c r="B92" s="965" t="s">
        <v>2603</v>
      </c>
      <c r="C92" s="495" t="s">
        <v>89</v>
      </c>
      <c r="D92" s="920">
        <v>7964751</v>
      </c>
      <c r="E92" s="408" t="s">
        <v>2600</v>
      </c>
      <c r="F92" s="920" t="s">
        <v>2604</v>
      </c>
      <c r="G92" s="920" t="s">
        <v>2605</v>
      </c>
      <c r="H92" s="920" t="s">
        <v>644</v>
      </c>
      <c r="I92" s="920" t="s">
        <v>2606</v>
      </c>
      <c r="J92" s="966">
        <v>3900</v>
      </c>
      <c r="K92" s="491">
        <f>J92*0.9</f>
        <v>3510</v>
      </c>
      <c r="L92" s="906">
        <v>3510</v>
      </c>
      <c r="M92" s="491">
        <v>3163</v>
      </c>
      <c r="N92" s="491">
        <v>3163</v>
      </c>
      <c r="O92" s="491"/>
      <c r="P92" s="491">
        <v>347</v>
      </c>
      <c r="Q92" s="942" t="s">
        <v>2607</v>
      </c>
      <c r="R92" s="936"/>
      <c r="S92" s="883"/>
    </row>
    <row r="93" spans="1:19" s="968" customFormat="1" ht="63.75" customHeight="1">
      <c r="A93" s="929">
        <v>10</v>
      </c>
      <c r="B93" s="417" t="s">
        <v>2608</v>
      </c>
      <c r="C93" s="495" t="s">
        <v>89</v>
      </c>
      <c r="D93" s="920">
        <v>8071453</v>
      </c>
      <c r="E93" s="408" t="s">
        <v>744</v>
      </c>
      <c r="F93" s="969" t="s">
        <v>2609</v>
      </c>
      <c r="G93" s="408" t="s">
        <v>2610</v>
      </c>
      <c r="H93" s="408" t="s">
        <v>1253</v>
      </c>
      <c r="I93" s="408" t="s">
        <v>2611</v>
      </c>
      <c r="J93" s="970">
        <v>16500</v>
      </c>
      <c r="K93" s="971">
        <f>J93*0.5</f>
        <v>8250</v>
      </c>
      <c r="L93" s="906">
        <v>4261</v>
      </c>
      <c r="M93" s="906">
        <v>3000</v>
      </c>
      <c r="N93" s="906">
        <v>6243</v>
      </c>
      <c r="O93" s="491">
        <v>1982</v>
      </c>
      <c r="P93" s="906"/>
      <c r="Q93" s="942" t="s">
        <v>2566</v>
      </c>
      <c r="R93" s="956"/>
      <c r="S93" s="972"/>
    </row>
    <row r="94" spans="1:19" s="968" customFormat="1" ht="56.25">
      <c r="A94" s="929">
        <v>11</v>
      </c>
      <c r="B94" s="908" t="s">
        <v>2612</v>
      </c>
      <c r="C94" s="495" t="s">
        <v>89</v>
      </c>
      <c r="D94" s="920">
        <v>8068793</v>
      </c>
      <c r="E94" s="408" t="s">
        <v>744</v>
      </c>
      <c r="F94" s="969" t="s">
        <v>750</v>
      </c>
      <c r="G94" s="920" t="s">
        <v>1247</v>
      </c>
      <c r="H94" s="408" t="s">
        <v>1253</v>
      </c>
      <c r="I94" s="408" t="s">
        <v>2613</v>
      </c>
      <c r="J94" s="970">
        <v>6000</v>
      </c>
      <c r="K94" s="971">
        <f>J94*0.5</f>
        <v>3000</v>
      </c>
      <c r="L94" s="906">
        <v>3000</v>
      </c>
      <c r="M94" s="906">
        <v>2000</v>
      </c>
      <c r="N94" s="906">
        <v>3000</v>
      </c>
      <c r="O94" s="491"/>
      <c r="P94" s="906"/>
      <c r="Q94" s="495"/>
      <c r="R94" s="902"/>
      <c r="S94" s="972"/>
    </row>
    <row r="95" spans="1:19" s="883" customFormat="1" ht="37.5" customHeight="1">
      <c r="A95" s="894" t="s">
        <v>133</v>
      </c>
      <c r="B95" s="895" t="s">
        <v>1520</v>
      </c>
      <c r="C95" s="495"/>
      <c r="D95" s="894"/>
      <c r="E95" s="894"/>
      <c r="F95" s="894"/>
      <c r="G95" s="894"/>
      <c r="H95" s="894"/>
      <c r="I95" s="896"/>
      <c r="J95" s="897">
        <f t="shared" ref="J95:P95" si="15">J96</f>
        <v>285980</v>
      </c>
      <c r="K95" s="897">
        <f t="shared" si="15"/>
        <v>206790.70000000004</v>
      </c>
      <c r="L95" s="897">
        <f t="shared" si="15"/>
        <v>160434</v>
      </c>
      <c r="M95" s="897">
        <f t="shared" si="15"/>
        <v>123102</v>
      </c>
      <c r="N95" s="897">
        <f t="shared" si="15"/>
        <v>160434</v>
      </c>
      <c r="O95" s="897">
        <f t="shared" si="15"/>
        <v>17332</v>
      </c>
      <c r="P95" s="897">
        <f t="shared" si="15"/>
        <v>17332</v>
      </c>
      <c r="Q95" s="910"/>
      <c r="R95" s="936"/>
      <c r="S95" s="908"/>
    </row>
    <row r="96" spans="1:19" s="883" customFormat="1" ht="36" customHeight="1">
      <c r="A96" s="894" t="s">
        <v>279</v>
      </c>
      <c r="B96" s="900" t="s">
        <v>685</v>
      </c>
      <c r="C96" s="495"/>
      <c r="D96" s="894"/>
      <c r="E96" s="894"/>
      <c r="F96" s="894"/>
      <c r="G96" s="894"/>
      <c r="H96" s="894"/>
      <c r="I96" s="896"/>
      <c r="J96" s="964">
        <f>SUM(J97:J148)</f>
        <v>285980</v>
      </c>
      <c r="K96" s="964">
        <f t="shared" ref="K96:O96" si="16">SUM(K97:K148)</f>
        <v>206790.70000000004</v>
      </c>
      <c r="L96" s="964">
        <f t="shared" si="16"/>
        <v>160434</v>
      </c>
      <c r="M96" s="964">
        <f t="shared" si="16"/>
        <v>123102</v>
      </c>
      <c r="N96" s="964">
        <f>SUM(N97:N148)</f>
        <v>160434</v>
      </c>
      <c r="O96" s="964">
        <f t="shared" si="16"/>
        <v>17332</v>
      </c>
      <c r="P96" s="964">
        <f>SUM(P97:P148)</f>
        <v>17332</v>
      </c>
      <c r="Q96" s="910"/>
      <c r="R96" s="936"/>
      <c r="S96" s="908"/>
    </row>
    <row r="97" spans="1:19" s="908" customFormat="1" ht="37.5">
      <c r="A97" s="408">
        <v>1</v>
      </c>
      <c r="B97" s="973" t="s">
        <v>2614</v>
      </c>
      <c r="C97" s="495" t="s">
        <v>89</v>
      </c>
      <c r="D97" s="904">
        <v>7951894</v>
      </c>
      <c r="E97" s="408" t="s">
        <v>2615</v>
      </c>
      <c r="F97" s="904" t="s">
        <v>1547</v>
      </c>
      <c r="G97" s="408" t="s">
        <v>1240</v>
      </c>
      <c r="H97" s="408" t="s">
        <v>673</v>
      </c>
      <c r="I97" s="923" t="s">
        <v>2616</v>
      </c>
      <c r="J97" s="938">
        <v>6100</v>
      </c>
      <c r="K97" s="938">
        <f>J97*0.9</f>
        <v>5490</v>
      </c>
      <c r="L97" s="906">
        <v>5400</v>
      </c>
      <c r="M97" s="491">
        <f>1750+2000+956</f>
        <v>4706</v>
      </c>
      <c r="N97" s="491">
        <f>5400-694</f>
        <v>4706</v>
      </c>
      <c r="O97" s="491"/>
      <c r="P97" s="491">
        <v>694</v>
      </c>
      <c r="Q97" s="942" t="s">
        <v>2538</v>
      </c>
      <c r="R97" s="974"/>
    </row>
    <row r="98" spans="1:19" s="908" customFormat="1" ht="37.5">
      <c r="A98" s="408">
        <v>2</v>
      </c>
      <c r="B98" s="973" t="s">
        <v>2617</v>
      </c>
      <c r="C98" s="495" t="s">
        <v>89</v>
      </c>
      <c r="D98" s="904">
        <v>7951898</v>
      </c>
      <c r="E98" s="408" t="s">
        <v>2615</v>
      </c>
      <c r="F98" s="904" t="s">
        <v>1547</v>
      </c>
      <c r="G98" s="408" t="s">
        <v>1247</v>
      </c>
      <c r="H98" s="408" t="s">
        <v>673</v>
      </c>
      <c r="I98" s="923" t="s">
        <v>2618</v>
      </c>
      <c r="J98" s="938">
        <v>7980</v>
      </c>
      <c r="K98" s="938">
        <f>J98*0.9</f>
        <v>7182</v>
      </c>
      <c r="L98" s="906">
        <v>6800</v>
      </c>
      <c r="M98" s="491">
        <f>2050+4074+34</f>
        <v>6158</v>
      </c>
      <c r="N98" s="491">
        <f>6800-642</f>
        <v>6158</v>
      </c>
      <c r="O98" s="491"/>
      <c r="P98" s="491">
        <v>642</v>
      </c>
      <c r="Q98" s="942" t="s">
        <v>2538</v>
      </c>
      <c r="R98" s="974"/>
    </row>
    <row r="99" spans="1:19" s="908" customFormat="1" ht="57.75" customHeight="1">
      <c r="A99" s="408">
        <v>3</v>
      </c>
      <c r="B99" s="973" t="s">
        <v>2619</v>
      </c>
      <c r="C99" s="495" t="s">
        <v>89</v>
      </c>
      <c r="D99" s="904">
        <v>7951883</v>
      </c>
      <c r="E99" s="408" t="s">
        <v>2615</v>
      </c>
      <c r="F99" s="904" t="s">
        <v>1547</v>
      </c>
      <c r="G99" s="408" t="s">
        <v>1240</v>
      </c>
      <c r="H99" s="408" t="s">
        <v>673</v>
      </c>
      <c r="I99" s="910" t="s">
        <v>2620</v>
      </c>
      <c r="J99" s="491">
        <v>2200</v>
      </c>
      <c r="K99" s="938">
        <f>J99*0.7</f>
        <v>1540</v>
      </c>
      <c r="L99" s="491">
        <v>1500</v>
      </c>
      <c r="M99" s="491">
        <v>1411</v>
      </c>
      <c r="N99" s="491">
        <v>1411</v>
      </c>
      <c r="O99" s="491"/>
      <c r="P99" s="491">
        <v>89</v>
      </c>
      <c r="Q99" s="942" t="s">
        <v>2538</v>
      </c>
      <c r="R99" s="909"/>
    </row>
    <row r="100" spans="1:19" s="908" customFormat="1" ht="88.5" customHeight="1">
      <c r="A100" s="408">
        <v>4</v>
      </c>
      <c r="B100" s="973" t="s">
        <v>2621</v>
      </c>
      <c r="C100" s="495" t="s">
        <v>89</v>
      </c>
      <c r="D100" s="904">
        <v>7965023</v>
      </c>
      <c r="E100" s="408" t="s">
        <v>2622</v>
      </c>
      <c r="F100" s="904" t="s">
        <v>1547</v>
      </c>
      <c r="G100" s="408" t="s">
        <v>1240</v>
      </c>
      <c r="H100" s="408" t="s">
        <v>673</v>
      </c>
      <c r="I100" s="910" t="s">
        <v>2623</v>
      </c>
      <c r="J100" s="491">
        <v>1234</v>
      </c>
      <c r="K100" s="938">
        <f>J100*0.7</f>
        <v>863.8</v>
      </c>
      <c r="L100" s="906">
        <v>864</v>
      </c>
      <c r="M100" s="491">
        <v>768</v>
      </c>
      <c r="N100" s="491">
        <v>768</v>
      </c>
      <c r="O100" s="491"/>
      <c r="P100" s="491">
        <v>96</v>
      </c>
      <c r="Q100" s="942" t="s">
        <v>2538</v>
      </c>
      <c r="R100" s="909"/>
    </row>
    <row r="101" spans="1:19" s="908" customFormat="1" ht="69" customHeight="1">
      <c r="A101" s="408">
        <v>5</v>
      </c>
      <c r="B101" s="973" t="s">
        <v>2624</v>
      </c>
      <c r="C101" s="495" t="s">
        <v>89</v>
      </c>
      <c r="D101" s="940">
        <v>7922277</v>
      </c>
      <c r="E101" s="408" t="s">
        <v>2615</v>
      </c>
      <c r="F101" s="904" t="s">
        <v>1547</v>
      </c>
      <c r="G101" s="408" t="s">
        <v>2625</v>
      </c>
      <c r="H101" s="408" t="s">
        <v>673</v>
      </c>
      <c r="I101" s="942" t="s">
        <v>2626</v>
      </c>
      <c r="J101" s="938">
        <v>3500</v>
      </c>
      <c r="K101" s="938">
        <f>J101*0.8</f>
        <v>2800</v>
      </c>
      <c r="L101" s="906">
        <v>2800</v>
      </c>
      <c r="M101" s="491">
        <v>2638</v>
      </c>
      <c r="N101" s="491">
        <v>2638</v>
      </c>
      <c r="O101" s="491"/>
      <c r="P101" s="491">
        <v>162</v>
      </c>
      <c r="Q101" s="942" t="s">
        <v>2538</v>
      </c>
      <c r="R101" s="974"/>
    </row>
    <row r="102" spans="1:19" s="908" customFormat="1" ht="69.75" customHeight="1">
      <c r="A102" s="408">
        <v>6</v>
      </c>
      <c r="B102" s="973" t="s">
        <v>2627</v>
      </c>
      <c r="C102" s="495" t="s">
        <v>89</v>
      </c>
      <c r="D102" s="944">
        <v>7918046</v>
      </c>
      <c r="E102" s="408" t="s">
        <v>2615</v>
      </c>
      <c r="F102" s="920" t="s">
        <v>2628</v>
      </c>
      <c r="G102" s="408" t="s">
        <v>1353</v>
      </c>
      <c r="H102" s="408" t="s">
        <v>673</v>
      </c>
      <c r="I102" s="942" t="s">
        <v>2629</v>
      </c>
      <c r="J102" s="938">
        <v>7800</v>
      </c>
      <c r="K102" s="938">
        <f>J102*0.9</f>
        <v>7020</v>
      </c>
      <c r="L102" s="906">
        <v>7000</v>
      </c>
      <c r="M102" s="491">
        <f>4800+1429+37</f>
        <v>6266</v>
      </c>
      <c r="N102" s="491">
        <f>7000-734</f>
        <v>6266</v>
      </c>
      <c r="O102" s="491"/>
      <c r="P102" s="491">
        <v>734</v>
      </c>
      <c r="Q102" s="942" t="s">
        <v>2538</v>
      </c>
      <c r="R102" s="974"/>
    </row>
    <row r="103" spans="1:19" s="908" customFormat="1" ht="95.25" customHeight="1">
      <c r="A103" s="408">
        <v>7</v>
      </c>
      <c r="B103" s="973" t="s">
        <v>2630</v>
      </c>
      <c r="C103" s="495" t="s">
        <v>89</v>
      </c>
      <c r="D103" s="944">
        <v>7917916</v>
      </c>
      <c r="E103" s="408" t="s">
        <v>2615</v>
      </c>
      <c r="F103" s="920" t="s">
        <v>2628</v>
      </c>
      <c r="G103" s="408" t="s">
        <v>2631</v>
      </c>
      <c r="H103" s="408" t="s">
        <v>673</v>
      </c>
      <c r="I103" s="942" t="s">
        <v>2632</v>
      </c>
      <c r="J103" s="938">
        <v>1500</v>
      </c>
      <c r="K103" s="938">
        <f>J103*0.8</f>
        <v>1200</v>
      </c>
      <c r="L103" s="906">
        <v>1200</v>
      </c>
      <c r="M103" s="491">
        <v>959</v>
      </c>
      <c r="N103" s="491">
        <v>959</v>
      </c>
      <c r="O103" s="491"/>
      <c r="P103" s="491">
        <v>241</v>
      </c>
      <c r="Q103" s="942" t="s">
        <v>2538</v>
      </c>
      <c r="R103" s="974"/>
    </row>
    <row r="104" spans="1:19" s="908" customFormat="1" ht="56.25">
      <c r="A104" s="408">
        <v>8</v>
      </c>
      <c r="B104" s="973" t="s">
        <v>2633</v>
      </c>
      <c r="C104" s="495" t="s">
        <v>89</v>
      </c>
      <c r="D104" s="883">
        <v>7918913</v>
      </c>
      <c r="E104" s="408" t="s">
        <v>2615</v>
      </c>
      <c r="F104" s="975" t="s">
        <v>1576</v>
      </c>
      <c r="G104" s="976" t="s">
        <v>1247</v>
      </c>
      <c r="H104" s="976" t="s">
        <v>673</v>
      </c>
      <c r="I104" s="942" t="s">
        <v>2634</v>
      </c>
      <c r="J104" s="966">
        <v>12700</v>
      </c>
      <c r="K104" s="938">
        <f>J104*0.9</f>
        <v>11430</v>
      </c>
      <c r="L104" s="906">
        <v>10600</v>
      </c>
      <c r="M104" s="491">
        <f>4100+3430+2383</f>
        <v>9913</v>
      </c>
      <c r="N104" s="491">
        <f>10600-687</f>
        <v>9913</v>
      </c>
      <c r="O104" s="491"/>
      <c r="P104" s="491">
        <f>L104-M104</f>
        <v>687</v>
      </c>
      <c r="Q104" s="942" t="s">
        <v>2538</v>
      </c>
      <c r="R104" s="974"/>
      <c r="S104" s="977"/>
    </row>
    <row r="105" spans="1:19" s="908" customFormat="1" ht="56.25">
      <c r="A105" s="408">
        <v>9</v>
      </c>
      <c r="B105" s="973" t="s">
        <v>2635</v>
      </c>
      <c r="C105" s="495" t="s">
        <v>89</v>
      </c>
      <c r="D105" s="944">
        <v>7919232</v>
      </c>
      <c r="E105" s="408" t="s">
        <v>2615</v>
      </c>
      <c r="F105" s="975" t="s">
        <v>1576</v>
      </c>
      <c r="G105" s="976" t="s">
        <v>1247</v>
      </c>
      <c r="H105" s="976" t="s">
        <v>673</v>
      </c>
      <c r="I105" s="942" t="s">
        <v>2636</v>
      </c>
      <c r="J105" s="966">
        <v>6886</v>
      </c>
      <c r="K105" s="938">
        <f>J105*0.9</f>
        <v>6197.4000000000005</v>
      </c>
      <c r="L105" s="906">
        <v>5700</v>
      </c>
      <c r="M105" s="491">
        <v>4907</v>
      </c>
      <c r="N105" s="491">
        <v>4907</v>
      </c>
      <c r="O105" s="491"/>
      <c r="P105" s="491">
        <v>793</v>
      </c>
      <c r="Q105" s="942" t="s">
        <v>2538</v>
      </c>
      <c r="R105" s="974"/>
    </row>
    <row r="106" spans="1:19" s="977" customFormat="1" ht="37.5">
      <c r="A106" s="408">
        <v>10</v>
      </c>
      <c r="B106" s="973" t="s">
        <v>2637</v>
      </c>
      <c r="C106" s="495" t="s">
        <v>89</v>
      </c>
      <c r="D106" s="944">
        <v>7918886</v>
      </c>
      <c r="E106" s="408" t="s">
        <v>2615</v>
      </c>
      <c r="F106" s="975" t="s">
        <v>1576</v>
      </c>
      <c r="G106" s="976" t="s">
        <v>1247</v>
      </c>
      <c r="H106" s="976" t="s">
        <v>673</v>
      </c>
      <c r="I106" s="923" t="s">
        <v>2638</v>
      </c>
      <c r="J106" s="966">
        <v>2300</v>
      </c>
      <c r="K106" s="938">
        <f>J106*0.7</f>
        <v>1610</v>
      </c>
      <c r="L106" s="906">
        <v>1610</v>
      </c>
      <c r="M106" s="491">
        <v>1200</v>
      </c>
      <c r="N106" s="491">
        <v>1200</v>
      </c>
      <c r="O106" s="491"/>
      <c r="P106" s="491">
        <v>410</v>
      </c>
      <c r="Q106" s="942" t="s">
        <v>2538</v>
      </c>
      <c r="R106" s="909"/>
      <c r="S106" s="926"/>
    </row>
    <row r="107" spans="1:19" s="908" customFormat="1" ht="54" customHeight="1">
      <c r="A107" s="408">
        <v>11</v>
      </c>
      <c r="B107" s="973" t="s">
        <v>2639</v>
      </c>
      <c r="C107" s="495" t="s">
        <v>89</v>
      </c>
      <c r="D107" s="944">
        <v>7922278</v>
      </c>
      <c r="E107" s="408" t="s">
        <v>2615</v>
      </c>
      <c r="F107" s="975" t="s">
        <v>1576</v>
      </c>
      <c r="G107" s="408" t="s">
        <v>2625</v>
      </c>
      <c r="H107" s="976" t="s">
        <v>673</v>
      </c>
      <c r="I107" s="923" t="s">
        <v>2640</v>
      </c>
      <c r="J107" s="966">
        <v>3500</v>
      </c>
      <c r="K107" s="938">
        <f>J107*0.8</f>
        <v>2800</v>
      </c>
      <c r="L107" s="906">
        <v>2800</v>
      </c>
      <c r="M107" s="491">
        <v>2800</v>
      </c>
      <c r="N107" s="491">
        <v>2800</v>
      </c>
      <c r="O107" s="491"/>
      <c r="P107" s="491"/>
      <c r="Q107" s="920"/>
      <c r="R107" s="974"/>
      <c r="S107" s="926"/>
    </row>
    <row r="108" spans="1:19" s="926" customFormat="1" ht="37.5">
      <c r="A108" s="408">
        <v>12</v>
      </c>
      <c r="B108" s="973" t="s">
        <v>2641</v>
      </c>
      <c r="C108" s="495" t="s">
        <v>89</v>
      </c>
      <c r="D108" s="944">
        <v>7918881</v>
      </c>
      <c r="E108" s="408" t="s">
        <v>2615</v>
      </c>
      <c r="F108" s="975" t="s">
        <v>2642</v>
      </c>
      <c r="G108" s="976" t="s">
        <v>1247</v>
      </c>
      <c r="H108" s="976" t="s">
        <v>673</v>
      </c>
      <c r="I108" s="923" t="s">
        <v>2643</v>
      </c>
      <c r="J108" s="966">
        <v>11900</v>
      </c>
      <c r="K108" s="938">
        <f>J108*0.9</f>
        <v>10710</v>
      </c>
      <c r="L108" s="906">
        <v>10700</v>
      </c>
      <c r="M108" s="491">
        <v>3595</v>
      </c>
      <c r="N108" s="491">
        <v>3595</v>
      </c>
      <c r="O108" s="491"/>
      <c r="P108" s="491">
        <v>7105</v>
      </c>
      <c r="Q108" s="920" t="s">
        <v>2246</v>
      </c>
      <c r="R108" s="974"/>
      <c r="S108" s="908"/>
    </row>
    <row r="109" spans="1:19" s="926" customFormat="1" ht="69" customHeight="1">
      <c r="A109" s="408">
        <v>13</v>
      </c>
      <c r="B109" s="973" t="s">
        <v>2644</v>
      </c>
      <c r="C109" s="495" t="s">
        <v>89</v>
      </c>
      <c r="D109" s="944">
        <v>7918926</v>
      </c>
      <c r="E109" s="408" t="s">
        <v>2615</v>
      </c>
      <c r="F109" s="975" t="s">
        <v>2642</v>
      </c>
      <c r="G109" s="976" t="s">
        <v>1247</v>
      </c>
      <c r="H109" s="976" t="s">
        <v>673</v>
      </c>
      <c r="I109" s="942" t="s">
        <v>2645</v>
      </c>
      <c r="J109" s="966">
        <v>7773</v>
      </c>
      <c r="K109" s="938">
        <f>J109*0.9</f>
        <v>6995.7</v>
      </c>
      <c r="L109" s="906">
        <v>6500</v>
      </c>
      <c r="M109" s="491">
        <f>2000+3508+487</f>
        <v>5995</v>
      </c>
      <c r="N109" s="491">
        <f>6500-505</f>
        <v>5995</v>
      </c>
      <c r="O109" s="491"/>
      <c r="P109" s="491">
        <v>505</v>
      </c>
      <c r="Q109" s="920" t="s">
        <v>2246</v>
      </c>
      <c r="R109" s="974"/>
      <c r="S109" s="908"/>
    </row>
    <row r="110" spans="1:19" s="908" customFormat="1" ht="69" customHeight="1">
      <c r="A110" s="408">
        <v>14</v>
      </c>
      <c r="B110" s="973" t="s">
        <v>2646</v>
      </c>
      <c r="C110" s="495" t="s">
        <v>89</v>
      </c>
      <c r="D110" s="944">
        <v>7918937</v>
      </c>
      <c r="E110" s="408" t="s">
        <v>2615</v>
      </c>
      <c r="F110" s="975" t="s">
        <v>2642</v>
      </c>
      <c r="G110" s="976" t="s">
        <v>1240</v>
      </c>
      <c r="H110" s="976" t="s">
        <v>673</v>
      </c>
      <c r="I110" s="942" t="s">
        <v>2647</v>
      </c>
      <c r="J110" s="966">
        <v>5100</v>
      </c>
      <c r="K110" s="938">
        <f>J110*0.7</f>
        <v>3570</v>
      </c>
      <c r="L110" s="906">
        <v>3400</v>
      </c>
      <c r="M110" s="491">
        <v>2978</v>
      </c>
      <c r="N110" s="491">
        <v>2978</v>
      </c>
      <c r="O110" s="491"/>
      <c r="P110" s="491">
        <v>422</v>
      </c>
      <c r="Q110" s="942" t="s">
        <v>2538</v>
      </c>
      <c r="R110" s="974"/>
    </row>
    <row r="111" spans="1:19" s="908" customFormat="1" ht="67.5" customHeight="1">
      <c r="A111" s="408">
        <v>15</v>
      </c>
      <c r="B111" s="973" t="s">
        <v>2648</v>
      </c>
      <c r="C111" s="495" t="s">
        <v>89</v>
      </c>
      <c r="D111" s="494">
        <v>7918887</v>
      </c>
      <c r="E111" s="408" t="s">
        <v>2615</v>
      </c>
      <c r="F111" s="975" t="s">
        <v>2642</v>
      </c>
      <c r="G111" s="976" t="s">
        <v>1247</v>
      </c>
      <c r="H111" s="976" t="s">
        <v>673</v>
      </c>
      <c r="I111" s="942" t="s">
        <v>2649</v>
      </c>
      <c r="J111" s="966">
        <v>6759</v>
      </c>
      <c r="K111" s="938">
        <f>J111*0.7</f>
        <v>4731.2999999999993</v>
      </c>
      <c r="L111" s="906">
        <v>4729</v>
      </c>
      <c r="M111" s="491">
        <v>4179</v>
      </c>
      <c r="N111" s="491">
        <v>4179</v>
      </c>
      <c r="O111" s="491"/>
      <c r="P111" s="491">
        <v>550</v>
      </c>
      <c r="Q111" s="942" t="s">
        <v>2538</v>
      </c>
      <c r="R111" s="909"/>
    </row>
    <row r="112" spans="1:19" s="908" customFormat="1" ht="52.5" customHeight="1">
      <c r="A112" s="408">
        <v>16</v>
      </c>
      <c r="B112" s="973" t="s">
        <v>2650</v>
      </c>
      <c r="C112" s="495" t="s">
        <v>89</v>
      </c>
      <c r="D112" s="494">
        <v>7920096</v>
      </c>
      <c r="E112" s="408" t="s">
        <v>2651</v>
      </c>
      <c r="F112" s="975" t="s">
        <v>2652</v>
      </c>
      <c r="G112" s="976" t="s">
        <v>1240</v>
      </c>
      <c r="H112" s="976" t="s">
        <v>673</v>
      </c>
      <c r="I112" s="923" t="s">
        <v>2653</v>
      </c>
      <c r="J112" s="966">
        <v>2281</v>
      </c>
      <c r="K112" s="938">
        <f>J112*0.7</f>
        <v>1596.6999999999998</v>
      </c>
      <c r="L112" s="906">
        <v>1597</v>
      </c>
      <c r="M112" s="491">
        <v>1420</v>
      </c>
      <c r="N112" s="491">
        <v>1420</v>
      </c>
      <c r="O112" s="491"/>
      <c r="P112" s="491">
        <v>177</v>
      </c>
      <c r="Q112" s="942" t="s">
        <v>2538</v>
      </c>
      <c r="R112" s="909"/>
      <c r="S112" s="926"/>
    </row>
    <row r="113" spans="1:19" s="908" customFormat="1" ht="37.5">
      <c r="A113" s="408">
        <v>17</v>
      </c>
      <c r="B113" s="965" t="s">
        <v>2654</v>
      </c>
      <c r="C113" s="495" t="s">
        <v>89</v>
      </c>
      <c r="D113" s="920">
        <v>7907879</v>
      </c>
      <c r="E113" s="408" t="s">
        <v>2615</v>
      </c>
      <c r="F113" s="920" t="s">
        <v>2655</v>
      </c>
      <c r="G113" s="920" t="s">
        <v>1247</v>
      </c>
      <c r="H113" s="408" t="s">
        <v>673</v>
      </c>
      <c r="I113" s="923" t="s">
        <v>2656</v>
      </c>
      <c r="J113" s="966">
        <v>11757</v>
      </c>
      <c r="K113" s="938">
        <f>J113*0.9</f>
        <v>10581.300000000001</v>
      </c>
      <c r="L113" s="906">
        <v>10000</v>
      </c>
      <c r="M113" s="491">
        <v>8469</v>
      </c>
      <c r="N113" s="491">
        <v>8469</v>
      </c>
      <c r="O113" s="491"/>
      <c r="P113" s="491">
        <v>1531</v>
      </c>
      <c r="Q113" s="942" t="s">
        <v>2538</v>
      </c>
      <c r="R113" s="974"/>
      <c r="S113" s="977"/>
    </row>
    <row r="114" spans="1:19" s="926" customFormat="1" ht="37.5">
      <c r="A114" s="408">
        <v>18</v>
      </c>
      <c r="B114" s="965" t="s">
        <v>2657</v>
      </c>
      <c r="C114" s="495" t="s">
        <v>89</v>
      </c>
      <c r="D114" s="920">
        <v>7907888</v>
      </c>
      <c r="E114" s="408" t="s">
        <v>2615</v>
      </c>
      <c r="F114" s="920" t="s">
        <v>2655</v>
      </c>
      <c r="G114" s="920" t="s">
        <v>1247</v>
      </c>
      <c r="H114" s="408" t="s">
        <v>673</v>
      </c>
      <c r="I114" s="923" t="s">
        <v>2658</v>
      </c>
      <c r="J114" s="966">
        <v>8250</v>
      </c>
      <c r="K114" s="938">
        <f>J114*0.9</f>
        <v>7425</v>
      </c>
      <c r="L114" s="906">
        <v>6900</v>
      </c>
      <c r="M114" s="491">
        <f>2400+2000+2073</f>
        <v>6473</v>
      </c>
      <c r="N114" s="491">
        <f>6900-427</f>
        <v>6473</v>
      </c>
      <c r="O114" s="491"/>
      <c r="P114" s="491">
        <v>427</v>
      </c>
      <c r="Q114" s="942" t="s">
        <v>2538</v>
      </c>
      <c r="R114" s="974"/>
    </row>
    <row r="115" spans="1:19" s="977" customFormat="1" ht="48.75" customHeight="1">
      <c r="A115" s="408">
        <v>19</v>
      </c>
      <c r="B115" s="965" t="s">
        <v>2659</v>
      </c>
      <c r="C115" s="495" t="s">
        <v>89</v>
      </c>
      <c r="D115" s="403">
        <v>7922593</v>
      </c>
      <c r="E115" s="408" t="s">
        <v>2660</v>
      </c>
      <c r="F115" s="920" t="s">
        <v>2655</v>
      </c>
      <c r="G115" s="920" t="s">
        <v>1240</v>
      </c>
      <c r="H115" s="408" t="s">
        <v>673</v>
      </c>
      <c r="I115" s="923" t="s">
        <v>2661</v>
      </c>
      <c r="J115" s="966">
        <v>1846</v>
      </c>
      <c r="K115" s="938">
        <f>J115*0.7</f>
        <v>1292.1999999999998</v>
      </c>
      <c r="L115" s="906">
        <v>1292</v>
      </c>
      <c r="M115" s="491">
        <v>1195</v>
      </c>
      <c r="N115" s="491">
        <v>1195</v>
      </c>
      <c r="O115" s="491"/>
      <c r="P115" s="491">
        <v>97</v>
      </c>
      <c r="Q115" s="910" t="s">
        <v>2538</v>
      </c>
      <c r="R115" s="909"/>
      <c r="S115" s="908"/>
    </row>
    <row r="116" spans="1:19" s="926" customFormat="1" ht="37.5">
      <c r="A116" s="408">
        <v>20</v>
      </c>
      <c r="B116" s="965" t="s">
        <v>2662</v>
      </c>
      <c r="C116" s="495" t="s">
        <v>89</v>
      </c>
      <c r="D116" s="403">
        <v>7907877</v>
      </c>
      <c r="E116" s="408" t="s">
        <v>2615</v>
      </c>
      <c r="F116" s="920" t="s">
        <v>2655</v>
      </c>
      <c r="G116" s="920" t="s">
        <v>1240</v>
      </c>
      <c r="H116" s="408" t="s">
        <v>2663</v>
      </c>
      <c r="I116" s="923" t="s">
        <v>2664</v>
      </c>
      <c r="J116" s="966">
        <v>3187</v>
      </c>
      <c r="K116" s="938">
        <f>J116*0.7</f>
        <v>2230.8999999999996</v>
      </c>
      <c r="L116" s="906">
        <v>2100</v>
      </c>
      <c r="M116" s="491">
        <v>1936</v>
      </c>
      <c r="N116" s="491">
        <v>1936</v>
      </c>
      <c r="O116" s="491"/>
      <c r="P116" s="491">
        <v>164</v>
      </c>
      <c r="Q116" s="910" t="s">
        <v>2538</v>
      </c>
      <c r="R116" s="909"/>
      <c r="S116" s="908"/>
    </row>
    <row r="117" spans="1:19" s="908" customFormat="1" ht="52.5" customHeight="1">
      <c r="A117" s="408">
        <v>21</v>
      </c>
      <c r="B117" s="965" t="s">
        <v>2665</v>
      </c>
      <c r="C117" s="495" t="s">
        <v>89</v>
      </c>
      <c r="D117" s="403">
        <v>7907873</v>
      </c>
      <c r="E117" s="408" t="s">
        <v>2615</v>
      </c>
      <c r="F117" s="920" t="s">
        <v>2655</v>
      </c>
      <c r="G117" s="408" t="s">
        <v>2666</v>
      </c>
      <c r="H117" s="920" t="s">
        <v>673</v>
      </c>
      <c r="I117" s="923" t="s">
        <v>2667</v>
      </c>
      <c r="J117" s="966">
        <v>3500</v>
      </c>
      <c r="K117" s="938">
        <f>J117*0.8</f>
        <v>2800</v>
      </c>
      <c r="L117" s="906">
        <v>2700</v>
      </c>
      <c r="M117" s="491">
        <v>2365</v>
      </c>
      <c r="N117" s="491">
        <v>2365</v>
      </c>
      <c r="O117" s="491"/>
      <c r="P117" s="491">
        <v>335</v>
      </c>
      <c r="Q117" s="910" t="s">
        <v>2538</v>
      </c>
      <c r="R117" s="909"/>
    </row>
    <row r="118" spans="1:19" s="908" customFormat="1" ht="63.75" customHeight="1">
      <c r="A118" s="408">
        <v>22</v>
      </c>
      <c r="B118" s="973" t="s">
        <v>2668</v>
      </c>
      <c r="C118" s="495" t="s">
        <v>89</v>
      </c>
      <c r="D118" s="403">
        <v>7952021</v>
      </c>
      <c r="E118" s="408" t="s">
        <v>2615</v>
      </c>
      <c r="F118" s="975" t="s">
        <v>2669</v>
      </c>
      <c r="G118" s="976" t="s">
        <v>1353</v>
      </c>
      <c r="H118" s="976" t="s">
        <v>673</v>
      </c>
      <c r="I118" s="942" t="s">
        <v>2670</v>
      </c>
      <c r="J118" s="966">
        <v>4718</v>
      </c>
      <c r="K118" s="938">
        <f>J118*0.9</f>
        <v>4246.2</v>
      </c>
      <c r="L118" s="906">
        <v>4200</v>
      </c>
      <c r="M118" s="491">
        <f>1144+2733+24</f>
        <v>3901</v>
      </c>
      <c r="N118" s="491">
        <f>4200-299</f>
        <v>3901</v>
      </c>
      <c r="O118" s="491"/>
      <c r="P118" s="491">
        <v>299</v>
      </c>
      <c r="Q118" s="910" t="s">
        <v>2538</v>
      </c>
      <c r="R118" s="974"/>
    </row>
    <row r="119" spans="1:19" s="908" customFormat="1" ht="67.5" customHeight="1">
      <c r="A119" s="408">
        <v>23</v>
      </c>
      <c r="B119" s="973" t="s">
        <v>2671</v>
      </c>
      <c r="C119" s="495" t="s">
        <v>89</v>
      </c>
      <c r="D119" s="944">
        <v>7951901</v>
      </c>
      <c r="E119" s="408" t="s">
        <v>2615</v>
      </c>
      <c r="F119" s="975" t="s">
        <v>2672</v>
      </c>
      <c r="G119" s="976" t="s">
        <v>1240</v>
      </c>
      <c r="H119" s="976" t="s">
        <v>673</v>
      </c>
      <c r="I119" s="942" t="s">
        <v>2673</v>
      </c>
      <c r="J119" s="966">
        <v>12245</v>
      </c>
      <c r="K119" s="938">
        <f>J119*0.9</f>
        <v>11020.5</v>
      </c>
      <c r="L119" s="491">
        <v>10000</v>
      </c>
      <c r="M119" s="491">
        <f>2417+4000+3100</f>
        <v>9517</v>
      </c>
      <c r="N119" s="491">
        <f>10000-483</f>
        <v>9517</v>
      </c>
      <c r="O119" s="491"/>
      <c r="P119" s="491">
        <f>L119-M119</f>
        <v>483</v>
      </c>
      <c r="Q119" s="910" t="s">
        <v>2538</v>
      </c>
      <c r="R119" s="974"/>
    </row>
    <row r="120" spans="1:19" s="908" customFormat="1" ht="86.25" customHeight="1">
      <c r="A120" s="408">
        <v>24</v>
      </c>
      <c r="B120" s="973" t="s">
        <v>2674</v>
      </c>
      <c r="C120" s="495" t="s">
        <v>89</v>
      </c>
      <c r="D120" s="978">
        <v>7965487</v>
      </c>
      <c r="E120" s="408" t="s">
        <v>2675</v>
      </c>
      <c r="F120" s="975" t="s">
        <v>2669</v>
      </c>
      <c r="G120" s="976" t="s">
        <v>1240</v>
      </c>
      <c r="H120" s="976" t="s">
        <v>673</v>
      </c>
      <c r="I120" s="923" t="s">
        <v>2676</v>
      </c>
      <c r="J120" s="966">
        <v>2860</v>
      </c>
      <c r="K120" s="938">
        <f>J120*0.7</f>
        <v>2001.9999999999998</v>
      </c>
      <c r="L120" s="491">
        <v>2000</v>
      </c>
      <c r="M120" s="491">
        <v>1810</v>
      </c>
      <c r="N120" s="491">
        <v>1810</v>
      </c>
      <c r="O120" s="491"/>
      <c r="P120" s="491">
        <v>190</v>
      </c>
      <c r="Q120" s="910" t="s">
        <v>2538</v>
      </c>
      <c r="R120" s="909"/>
    </row>
    <row r="121" spans="1:19" s="908" customFormat="1" ht="84" customHeight="1">
      <c r="A121" s="408">
        <v>25</v>
      </c>
      <c r="B121" s="973" t="s">
        <v>2677</v>
      </c>
      <c r="C121" s="495" t="s">
        <v>89</v>
      </c>
      <c r="D121" s="978">
        <v>7965496</v>
      </c>
      <c r="E121" s="408" t="s">
        <v>2675</v>
      </c>
      <c r="F121" s="975" t="s">
        <v>2672</v>
      </c>
      <c r="G121" s="976" t="s">
        <v>1247</v>
      </c>
      <c r="H121" s="976" t="s">
        <v>637</v>
      </c>
      <c r="I121" s="923" t="s">
        <v>2678</v>
      </c>
      <c r="J121" s="966">
        <v>1219</v>
      </c>
      <c r="K121" s="938">
        <f>J121*0.7</f>
        <v>853.3</v>
      </c>
      <c r="L121" s="491">
        <v>853</v>
      </c>
      <c r="M121" s="491">
        <v>753</v>
      </c>
      <c r="N121" s="491">
        <v>753</v>
      </c>
      <c r="O121" s="491"/>
      <c r="P121" s="491">
        <v>100</v>
      </c>
      <c r="Q121" s="910" t="s">
        <v>2538</v>
      </c>
      <c r="R121" s="909"/>
    </row>
    <row r="122" spans="1:19" s="908" customFormat="1" ht="84" customHeight="1">
      <c r="A122" s="408">
        <v>26</v>
      </c>
      <c r="B122" s="973" t="s">
        <v>2679</v>
      </c>
      <c r="C122" s="495" t="s">
        <v>89</v>
      </c>
      <c r="D122" s="978">
        <v>7965502</v>
      </c>
      <c r="E122" s="408" t="s">
        <v>2675</v>
      </c>
      <c r="F122" s="975" t="s">
        <v>2669</v>
      </c>
      <c r="G122" s="976" t="s">
        <v>1240</v>
      </c>
      <c r="H122" s="976" t="s">
        <v>673</v>
      </c>
      <c r="I122" s="923" t="s">
        <v>2680</v>
      </c>
      <c r="J122" s="966">
        <v>2214</v>
      </c>
      <c r="K122" s="938">
        <f>J122*0.7</f>
        <v>1549.8</v>
      </c>
      <c r="L122" s="491">
        <v>1550</v>
      </c>
      <c r="M122" s="491">
        <v>1334</v>
      </c>
      <c r="N122" s="491">
        <v>1334</v>
      </c>
      <c r="O122" s="491"/>
      <c r="P122" s="491">
        <v>216</v>
      </c>
      <c r="Q122" s="910" t="s">
        <v>2538</v>
      </c>
      <c r="R122" s="909"/>
    </row>
    <row r="123" spans="1:19" s="908" customFormat="1" ht="86.25" customHeight="1">
      <c r="A123" s="408">
        <v>27</v>
      </c>
      <c r="B123" s="973" t="s">
        <v>2681</v>
      </c>
      <c r="C123" s="495" t="s">
        <v>89</v>
      </c>
      <c r="D123" s="494">
        <v>796550</v>
      </c>
      <c r="E123" s="408" t="s">
        <v>2675</v>
      </c>
      <c r="F123" s="975" t="s">
        <v>2669</v>
      </c>
      <c r="G123" s="976" t="s">
        <v>1469</v>
      </c>
      <c r="H123" s="976" t="s">
        <v>637</v>
      </c>
      <c r="I123" s="923" t="s">
        <v>2682</v>
      </c>
      <c r="J123" s="966">
        <v>1171</v>
      </c>
      <c r="K123" s="938">
        <f>J123*0.3</f>
        <v>351.3</v>
      </c>
      <c r="L123" s="491">
        <v>351</v>
      </c>
      <c r="M123" s="491">
        <v>331</v>
      </c>
      <c r="N123" s="491">
        <v>331</v>
      </c>
      <c r="O123" s="491"/>
      <c r="P123" s="491">
        <v>20</v>
      </c>
      <c r="Q123" s="910" t="s">
        <v>2538</v>
      </c>
      <c r="R123" s="909"/>
      <c r="S123" s="919"/>
    </row>
    <row r="124" spans="1:19" s="908" customFormat="1" ht="37.5">
      <c r="A124" s="408">
        <v>28</v>
      </c>
      <c r="B124" s="973" t="s">
        <v>2683</v>
      </c>
      <c r="C124" s="495" t="s">
        <v>89</v>
      </c>
      <c r="D124" s="978">
        <v>7951900</v>
      </c>
      <c r="E124" s="408" t="s">
        <v>2615</v>
      </c>
      <c r="F124" s="975" t="s">
        <v>2669</v>
      </c>
      <c r="G124" s="408" t="s">
        <v>2666</v>
      </c>
      <c r="H124" s="976" t="s">
        <v>673</v>
      </c>
      <c r="I124" s="942" t="s">
        <v>2684</v>
      </c>
      <c r="J124" s="966">
        <v>3500</v>
      </c>
      <c r="K124" s="938">
        <f>J124*0.8</f>
        <v>2800</v>
      </c>
      <c r="L124" s="491">
        <v>2800</v>
      </c>
      <c r="M124" s="491">
        <v>2637</v>
      </c>
      <c r="N124" s="491">
        <v>2637</v>
      </c>
      <c r="O124" s="491"/>
      <c r="P124" s="491">
        <v>163</v>
      </c>
      <c r="Q124" s="910" t="s">
        <v>2538</v>
      </c>
      <c r="R124" s="909"/>
      <c r="S124" s="919"/>
    </row>
    <row r="125" spans="1:19" ht="66" customHeight="1">
      <c r="A125" s="408">
        <v>29</v>
      </c>
      <c r="B125" s="979" t="s">
        <v>2685</v>
      </c>
      <c r="C125" s="495" t="s">
        <v>89</v>
      </c>
      <c r="D125" s="920">
        <v>8087214</v>
      </c>
      <c r="E125" s="408" t="s">
        <v>2615</v>
      </c>
      <c r="F125" s="920" t="s">
        <v>1626</v>
      </c>
      <c r="G125" s="920" t="s">
        <v>1341</v>
      </c>
      <c r="H125" s="408" t="s">
        <v>1253</v>
      </c>
      <c r="I125" s="915" t="s">
        <v>2686</v>
      </c>
      <c r="J125" s="931">
        <v>9810</v>
      </c>
      <c r="K125" s="931">
        <f>J125*80%</f>
        <v>7848</v>
      </c>
      <c r="L125" s="980">
        <v>4500</v>
      </c>
      <c r="M125" s="980">
        <f>1000+1200</f>
        <v>2200</v>
      </c>
      <c r="N125" s="980">
        <f>L125+O125</f>
        <v>6848</v>
      </c>
      <c r="O125" s="491">
        <v>2348</v>
      </c>
      <c r="P125" s="980"/>
      <c r="Q125" s="910" t="s">
        <v>2687</v>
      </c>
      <c r="R125" s="936"/>
      <c r="S125" s="1192" t="s">
        <v>2567</v>
      </c>
    </row>
    <row r="126" spans="1:19" ht="65.25" customHeight="1">
      <c r="A126" s="408">
        <v>30</v>
      </c>
      <c r="B126" s="979" t="s">
        <v>2688</v>
      </c>
      <c r="C126" s="495" t="s">
        <v>89</v>
      </c>
      <c r="D126" s="920">
        <v>8087438</v>
      </c>
      <c r="E126" s="408" t="s">
        <v>2615</v>
      </c>
      <c r="F126" s="920" t="s">
        <v>1626</v>
      </c>
      <c r="G126" s="920" t="s">
        <v>1341</v>
      </c>
      <c r="H126" s="408" t="s">
        <v>1253</v>
      </c>
      <c r="I126" s="981" t="s">
        <v>2689</v>
      </c>
      <c r="J126" s="931">
        <v>14000</v>
      </c>
      <c r="K126" s="931">
        <f>J126*80%</f>
        <v>11200</v>
      </c>
      <c r="L126" s="980">
        <v>5500</v>
      </c>
      <c r="M126" s="980">
        <v>2500</v>
      </c>
      <c r="N126" s="980">
        <f>5500+2708</f>
        <v>8208</v>
      </c>
      <c r="O126" s="491">
        <v>2708</v>
      </c>
      <c r="P126" s="980"/>
      <c r="Q126" s="910" t="s">
        <v>2687</v>
      </c>
      <c r="R126" s="1190"/>
      <c r="S126" s="1192"/>
    </row>
    <row r="127" spans="1:19" ht="37.5">
      <c r="A127" s="408">
        <v>31</v>
      </c>
      <c r="B127" s="973" t="s">
        <v>2690</v>
      </c>
      <c r="C127" s="495" t="s">
        <v>89</v>
      </c>
      <c r="D127" s="982" t="s">
        <v>2691</v>
      </c>
      <c r="E127" s="408" t="s">
        <v>2615</v>
      </c>
      <c r="F127" s="920" t="s">
        <v>1626</v>
      </c>
      <c r="G127" s="920"/>
      <c r="H127" s="408" t="s">
        <v>1253</v>
      </c>
      <c r="I127" s="981" t="s">
        <v>2692</v>
      </c>
      <c r="J127" s="931">
        <v>3500</v>
      </c>
      <c r="K127" s="931">
        <f>J127*70%</f>
        <v>2450</v>
      </c>
      <c r="L127" s="980">
        <v>1000</v>
      </c>
      <c r="M127" s="980">
        <v>1238</v>
      </c>
      <c r="N127" s="980">
        <v>2450</v>
      </c>
      <c r="O127" s="491">
        <f>N127-L127</f>
        <v>1450</v>
      </c>
      <c r="P127" s="980"/>
      <c r="Q127" s="910" t="s">
        <v>2687</v>
      </c>
      <c r="R127" s="936"/>
      <c r="S127" s="1192" t="s">
        <v>2567</v>
      </c>
    </row>
    <row r="128" spans="1:19" ht="37.5">
      <c r="A128" s="408">
        <v>32</v>
      </c>
      <c r="B128" s="979" t="s">
        <v>2693</v>
      </c>
      <c r="C128" s="495" t="s">
        <v>89</v>
      </c>
      <c r="D128" s="920">
        <v>8087237</v>
      </c>
      <c r="E128" s="408" t="s">
        <v>2615</v>
      </c>
      <c r="F128" s="920" t="s">
        <v>1627</v>
      </c>
      <c r="G128" s="920" t="s">
        <v>1341</v>
      </c>
      <c r="H128" s="408" t="s">
        <v>1253</v>
      </c>
      <c r="I128" s="915" t="s">
        <v>2694</v>
      </c>
      <c r="J128" s="931">
        <v>12889</v>
      </c>
      <c r="K128" s="931">
        <f>J128*80%</f>
        <v>10311.200000000001</v>
      </c>
      <c r="L128" s="980">
        <v>4000</v>
      </c>
      <c r="M128" s="980">
        <f>2000+1400</f>
        <v>3400</v>
      </c>
      <c r="N128" s="980">
        <f>4000+2588</f>
        <v>6588</v>
      </c>
      <c r="O128" s="491">
        <v>2588</v>
      </c>
      <c r="P128" s="980"/>
      <c r="Q128" s="910" t="s">
        <v>2687</v>
      </c>
      <c r="R128" s="1190"/>
      <c r="S128" s="1192" t="s">
        <v>2567</v>
      </c>
    </row>
    <row r="129" spans="1:19" ht="48.75" customHeight="1">
      <c r="A129" s="408">
        <v>33</v>
      </c>
      <c r="B129" s="415" t="s">
        <v>2695</v>
      </c>
      <c r="C129" s="495" t="s">
        <v>89</v>
      </c>
      <c r="D129" s="408">
        <v>8087162</v>
      </c>
      <c r="E129" s="408" t="s">
        <v>2615</v>
      </c>
      <c r="F129" s="920" t="s">
        <v>1627</v>
      </c>
      <c r="G129" s="920" t="s">
        <v>1259</v>
      </c>
      <c r="H129" s="408" t="s">
        <v>1253</v>
      </c>
      <c r="I129" s="942" t="s">
        <v>2696</v>
      </c>
      <c r="J129" s="931">
        <v>6183</v>
      </c>
      <c r="K129" s="931">
        <f>J129*50%</f>
        <v>3091.5</v>
      </c>
      <c r="L129" s="980">
        <v>1900</v>
      </c>
      <c r="M129" s="980">
        <f>1000+450</f>
        <v>1450</v>
      </c>
      <c r="N129" s="980">
        <v>3092</v>
      </c>
      <c r="O129" s="491">
        <f>N129-L129</f>
        <v>1192</v>
      </c>
      <c r="P129" s="980"/>
      <c r="Q129" s="910" t="s">
        <v>2687</v>
      </c>
      <c r="R129" s="936"/>
      <c r="S129" s="1192" t="s">
        <v>2567</v>
      </c>
    </row>
    <row r="130" spans="1:19" ht="65.25" customHeight="1">
      <c r="A130" s="408">
        <v>34</v>
      </c>
      <c r="B130" s="979" t="s">
        <v>2697</v>
      </c>
      <c r="C130" s="495" t="s">
        <v>89</v>
      </c>
      <c r="D130" s="920">
        <v>8087446</v>
      </c>
      <c r="E130" s="408" t="s">
        <v>2615</v>
      </c>
      <c r="F130" s="920" t="s">
        <v>2698</v>
      </c>
      <c r="G130" s="920" t="s">
        <v>1341</v>
      </c>
      <c r="H130" s="408" t="s">
        <v>1253</v>
      </c>
      <c r="I130" s="981" t="s">
        <v>2699</v>
      </c>
      <c r="J130" s="931">
        <v>14997</v>
      </c>
      <c r="K130" s="931">
        <f>J130*80%</f>
        <v>11997.6</v>
      </c>
      <c r="L130" s="931">
        <v>4407</v>
      </c>
      <c r="M130" s="931">
        <v>4350</v>
      </c>
      <c r="N130" s="980">
        <v>4407</v>
      </c>
      <c r="O130" s="491"/>
      <c r="P130" s="931"/>
      <c r="Q130" s="412"/>
      <c r="R130" s="1190"/>
      <c r="S130" s="1192"/>
    </row>
    <row r="131" spans="1:19" ht="56.25" customHeight="1">
      <c r="A131" s="408">
        <v>35</v>
      </c>
      <c r="B131" s="973" t="s">
        <v>2700</v>
      </c>
      <c r="C131" s="495" t="s">
        <v>89</v>
      </c>
      <c r="D131" s="975"/>
      <c r="E131" s="408" t="s">
        <v>2615</v>
      </c>
      <c r="F131" s="920" t="s">
        <v>1627</v>
      </c>
      <c r="G131" s="920" t="s">
        <v>2701</v>
      </c>
      <c r="H131" s="408" t="s">
        <v>1253</v>
      </c>
      <c r="I131" s="915" t="s">
        <v>2702</v>
      </c>
      <c r="J131" s="931">
        <v>3500</v>
      </c>
      <c r="K131" s="931">
        <f>J131*70%</f>
        <v>2450</v>
      </c>
      <c r="L131" s="980">
        <v>1500</v>
      </c>
      <c r="M131" s="980">
        <v>0</v>
      </c>
      <c r="N131" s="980">
        <f>1500+950</f>
        <v>2450</v>
      </c>
      <c r="O131" s="491">
        <v>950</v>
      </c>
      <c r="P131" s="980"/>
      <c r="Q131" s="942" t="s">
        <v>2566</v>
      </c>
      <c r="R131" s="1190"/>
      <c r="S131" s="1192"/>
    </row>
    <row r="132" spans="1:19" ht="66" customHeight="1">
      <c r="A132" s="408">
        <v>36</v>
      </c>
      <c r="B132" s="983" t="s">
        <v>2703</v>
      </c>
      <c r="C132" s="495" t="s">
        <v>89</v>
      </c>
      <c r="D132" s="984"/>
      <c r="E132" s="920" t="s">
        <v>2704</v>
      </c>
      <c r="F132" s="920" t="s">
        <v>2705</v>
      </c>
      <c r="G132" s="920" t="s">
        <v>1259</v>
      </c>
      <c r="H132" s="408" t="s">
        <v>1253</v>
      </c>
      <c r="I132" s="915" t="s">
        <v>2706</v>
      </c>
      <c r="J132" s="931">
        <v>2113</v>
      </c>
      <c r="K132" s="931">
        <f>J132*80%</f>
        <v>1690.4</v>
      </c>
      <c r="L132" s="980">
        <v>1200</v>
      </c>
      <c r="M132" s="980">
        <v>1000</v>
      </c>
      <c r="N132" s="980">
        <f>1200+490</f>
        <v>1690</v>
      </c>
      <c r="O132" s="491">
        <f>426+64</f>
        <v>490</v>
      </c>
      <c r="P132" s="980"/>
      <c r="Q132" s="942" t="s">
        <v>2566</v>
      </c>
      <c r="R132" s="956"/>
      <c r="S132" s="1192" t="s">
        <v>2567</v>
      </c>
    </row>
    <row r="133" spans="1:19" ht="62.25" customHeight="1">
      <c r="A133" s="408">
        <v>37</v>
      </c>
      <c r="B133" s="983" t="s">
        <v>2707</v>
      </c>
      <c r="C133" s="495" t="s">
        <v>89</v>
      </c>
      <c r="D133" s="883">
        <v>8087339</v>
      </c>
      <c r="E133" s="408" t="s">
        <v>2615</v>
      </c>
      <c r="F133" s="920" t="s">
        <v>2705</v>
      </c>
      <c r="G133" s="920" t="s">
        <v>1259</v>
      </c>
      <c r="H133" s="408" t="s">
        <v>1253</v>
      </c>
      <c r="I133" s="942" t="s">
        <v>2708</v>
      </c>
      <c r="J133" s="931">
        <v>13686</v>
      </c>
      <c r="K133" s="931">
        <f>J133*50%</f>
        <v>6843</v>
      </c>
      <c r="L133" s="980">
        <v>4215</v>
      </c>
      <c r="M133" s="980">
        <v>1200</v>
      </c>
      <c r="N133" s="980">
        <v>6843</v>
      </c>
      <c r="O133" s="491">
        <f>N133-L133</f>
        <v>2628</v>
      </c>
      <c r="P133" s="980"/>
      <c r="Q133" s="942" t="s">
        <v>2566</v>
      </c>
      <c r="R133" s="956"/>
      <c r="S133" s="1192" t="s">
        <v>2567</v>
      </c>
    </row>
    <row r="134" spans="1:19" ht="51" customHeight="1">
      <c r="A134" s="408">
        <v>38</v>
      </c>
      <c r="B134" s="979" t="s">
        <v>2709</v>
      </c>
      <c r="C134" s="495" t="s">
        <v>89</v>
      </c>
      <c r="D134" s="920">
        <v>8087426</v>
      </c>
      <c r="E134" s="408" t="s">
        <v>2615</v>
      </c>
      <c r="F134" s="920" t="s">
        <v>1608</v>
      </c>
      <c r="G134" s="920" t="s">
        <v>1341</v>
      </c>
      <c r="H134" s="408" t="s">
        <v>1253</v>
      </c>
      <c r="I134" s="942" t="s">
        <v>2710</v>
      </c>
      <c r="J134" s="931">
        <v>5797</v>
      </c>
      <c r="K134" s="931">
        <f>J134*80%</f>
        <v>4637.6000000000004</v>
      </c>
      <c r="L134" s="980">
        <v>1500</v>
      </c>
      <c r="M134" s="980">
        <v>1000</v>
      </c>
      <c r="N134" s="980">
        <v>1500</v>
      </c>
      <c r="O134" s="491"/>
      <c r="P134" s="980"/>
      <c r="Q134" s="403"/>
      <c r="S134" s="1192"/>
    </row>
    <row r="135" spans="1:19" ht="48.75" customHeight="1">
      <c r="A135" s="408">
        <v>39</v>
      </c>
      <c r="B135" s="973" t="s">
        <v>2711</v>
      </c>
      <c r="C135" s="495" t="s">
        <v>89</v>
      </c>
      <c r="D135" s="975"/>
      <c r="E135" s="408" t="s">
        <v>2615</v>
      </c>
      <c r="F135" s="920" t="s">
        <v>1608</v>
      </c>
      <c r="G135" s="920"/>
      <c r="H135" s="408" t="s">
        <v>1253</v>
      </c>
      <c r="I135" s="915"/>
      <c r="J135" s="931">
        <v>3500</v>
      </c>
      <c r="K135" s="931">
        <f>J135*70%</f>
        <v>2450</v>
      </c>
      <c r="L135" s="980">
        <v>1000</v>
      </c>
      <c r="M135" s="980">
        <v>0</v>
      </c>
      <c r="N135" s="980">
        <f>1000+1450</f>
        <v>2450</v>
      </c>
      <c r="O135" s="491">
        <v>1450</v>
      </c>
      <c r="P135" s="980"/>
      <c r="Q135" s="412"/>
      <c r="R135" s="1190"/>
      <c r="S135" s="1192"/>
    </row>
    <row r="136" spans="1:19" ht="51" customHeight="1">
      <c r="A136" s="408">
        <v>40</v>
      </c>
      <c r="B136" s="979" t="s">
        <v>2712</v>
      </c>
      <c r="C136" s="495" t="s">
        <v>89</v>
      </c>
      <c r="D136" s="920"/>
      <c r="E136" s="408" t="s">
        <v>2615</v>
      </c>
      <c r="F136" s="920" t="s">
        <v>1608</v>
      </c>
      <c r="G136" s="920" t="s">
        <v>1341</v>
      </c>
      <c r="H136" s="408" t="s">
        <v>1253</v>
      </c>
      <c r="I136" s="915"/>
      <c r="J136" s="931">
        <v>8250</v>
      </c>
      <c r="K136" s="931">
        <f>J136*80%</f>
        <v>6600</v>
      </c>
      <c r="L136" s="980">
        <v>2000</v>
      </c>
      <c r="M136" s="980">
        <v>0</v>
      </c>
      <c r="N136" s="980">
        <v>2000</v>
      </c>
      <c r="O136" s="491"/>
      <c r="P136" s="980"/>
      <c r="Q136" s="412"/>
      <c r="R136" s="1190"/>
      <c r="S136" s="1192"/>
    </row>
    <row r="137" spans="1:19" ht="50.25" customHeight="1">
      <c r="A137" s="408">
        <v>41</v>
      </c>
      <c r="B137" s="979" t="s">
        <v>2713</v>
      </c>
      <c r="C137" s="495" t="s">
        <v>89</v>
      </c>
      <c r="D137" s="920"/>
      <c r="E137" s="408" t="s">
        <v>2615</v>
      </c>
      <c r="F137" s="920" t="s">
        <v>2714</v>
      </c>
      <c r="G137" s="920" t="s">
        <v>1341</v>
      </c>
      <c r="H137" s="408" t="s">
        <v>1253</v>
      </c>
      <c r="I137" s="915"/>
      <c r="J137" s="931">
        <v>10623</v>
      </c>
      <c r="K137" s="931"/>
      <c r="L137" s="980">
        <v>0</v>
      </c>
      <c r="M137" s="980">
        <v>0</v>
      </c>
      <c r="N137" s="980">
        <v>0</v>
      </c>
      <c r="O137" s="491"/>
      <c r="P137" s="980"/>
      <c r="Q137" s="408"/>
      <c r="R137" s="917"/>
      <c r="S137" s="1192"/>
    </row>
    <row r="138" spans="1:19" ht="47.25" customHeight="1">
      <c r="A138" s="408">
        <v>42</v>
      </c>
      <c r="B138" s="928" t="s">
        <v>2715</v>
      </c>
      <c r="C138" s="495" t="s">
        <v>89</v>
      </c>
      <c r="D138" s="408"/>
      <c r="E138" s="408" t="s">
        <v>2615</v>
      </c>
      <c r="F138" s="920" t="s">
        <v>2714</v>
      </c>
      <c r="G138" s="920" t="s">
        <v>1259</v>
      </c>
      <c r="H138" s="408" t="s">
        <v>1253</v>
      </c>
      <c r="I138" s="985"/>
      <c r="J138" s="931">
        <v>5444</v>
      </c>
      <c r="K138" s="931"/>
      <c r="L138" s="980">
        <v>0</v>
      </c>
      <c r="M138" s="980">
        <v>0</v>
      </c>
      <c r="N138" s="980">
        <v>0</v>
      </c>
      <c r="O138" s="491"/>
      <c r="P138" s="980"/>
      <c r="Q138" s="408"/>
      <c r="R138" s="917"/>
      <c r="S138" s="1192"/>
    </row>
    <row r="139" spans="1:19" ht="37.5">
      <c r="A139" s="408">
        <v>43</v>
      </c>
      <c r="B139" s="983" t="s">
        <v>2716</v>
      </c>
      <c r="C139" s="495" t="s">
        <v>89</v>
      </c>
      <c r="D139" s="984"/>
      <c r="E139" s="408" t="s">
        <v>2615</v>
      </c>
      <c r="F139" s="920" t="s">
        <v>2717</v>
      </c>
      <c r="G139" s="984" t="s">
        <v>2718</v>
      </c>
      <c r="H139" s="408" t="s">
        <v>1480</v>
      </c>
      <c r="I139" s="985"/>
      <c r="J139" s="931">
        <v>1300</v>
      </c>
      <c r="K139" s="931"/>
      <c r="L139" s="980">
        <v>0</v>
      </c>
      <c r="M139" s="980">
        <v>0</v>
      </c>
      <c r="N139" s="980">
        <v>0</v>
      </c>
      <c r="O139" s="491"/>
      <c r="P139" s="980"/>
      <c r="Q139" s="408"/>
      <c r="R139" s="917"/>
      <c r="S139" s="1192"/>
    </row>
    <row r="140" spans="1:19" ht="48.75" customHeight="1">
      <c r="A140" s="408">
        <v>44</v>
      </c>
      <c r="B140" s="979" t="s">
        <v>2719</v>
      </c>
      <c r="C140" s="920">
        <v>8087436</v>
      </c>
      <c r="D140" s="408" t="s">
        <v>2615</v>
      </c>
      <c r="E140" s="920" t="s">
        <v>1620</v>
      </c>
      <c r="F140" s="920" t="s">
        <v>1259</v>
      </c>
      <c r="G140" s="408" t="s">
        <v>1253</v>
      </c>
      <c r="H140" s="986" t="s">
        <v>1253</v>
      </c>
      <c r="I140" s="986" t="s">
        <v>2720</v>
      </c>
      <c r="J140" s="931">
        <v>6956</v>
      </c>
      <c r="K140" s="931">
        <f>J140*50%</f>
        <v>3478</v>
      </c>
      <c r="L140" s="980">
        <v>3400</v>
      </c>
      <c r="M140" s="980">
        <v>1500</v>
      </c>
      <c r="N140" s="980">
        <f>3400+78</f>
        <v>3478</v>
      </c>
      <c r="O140" s="491">
        <v>78</v>
      </c>
      <c r="P140" s="980"/>
      <c r="Q140" s="412"/>
      <c r="R140" s="1190"/>
      <c r="S140" s="1192"/>
    </row>
    <row r="141" spans="1:19" ht="47.25" customHeight="1">
      <c r="A141" s="408">
        <v>45</v>
      </c>
      <c r="B141" s="979" t="s">
        <v>2721</v>
      </c>
      <c r="C141" s="495" t="s">
        <v>89</v>
      </c>
      <c r="D141" s="920"/>
      <c r="E141" s="408" t="s">
        <v>1573</v>
      </c>
      <c r="F141" s="920" t="s">
        <v>1620</v>
      </c>
      <c r="G141" s="920" t="s">
        <v>1266</v>
      </c>
      <c r="H141" s="408" t="s">
        <v>1480</v>
      </c>
      <c r="I141" s="915"/>
      <c r="J141" s="931">
        <v>2600</v>
      </c>
      <c r="K141" s="931">
        <f>J141*30%</f>
        <v>780</v>
      </c>
      <c r="L141" s="980">
        <v>780</v>
      </c>
      <c r="M141" s="980">
        <v>0</v>
      </c>
      <c r="N141" s="980">
        <v>780</v>
      </c>
      <c r="O141" s="491"/>
      <c r="P141" s="980"/>
      <c r="Q141" s="412"/>
      <c r="R141" s="1190"/>
      <c r="S141" s="1192"/>
    </row>
    <row r="142" spans="1:19" ht="37.5">
      <c r="A142" s="408">
        <v>46</v>
      </c>
      <c r="B142" s="973" t="s">
        <v>2722</v>
      </c>
      <c r="C142" s="495" t="s">
        <v>89</v>
      </c>
      <c r="D142" s="987">
        <v>8096148</v>
      </c>
      <c r="E142" s="408" t="s">
        <v>2615</v>
      </c>
      <c r="F142" s="920" t="s">
        <v>1620</v>
      </c>
      <c r="G142" s="975" t="s">
        <v>2723</v>
      </c>
      <c r="H142" s="408" t="s">
        <v>1253</v>
      </c>
      <c r="I142" s="986" t="s">
        <v>2724</v>
      </c>
      <c r="J142" s="931">
        <v>3500</v>
      </c>
      <c r="K142" s="931">
        <f>J142*70%</f>
        <v>2450</v>
      </c>
      <c r="L142" s="980">
        <v>1000</v>
      </c>
      <c r="M142" s="980">
        <v>1250</v>
      </c>
      <c r="N142" s="980">
        <f>L142+O142</f>
        <v>2450</v>
      </c>
      <c r="O142" s="491">
        <v>1450</v>
      </c>
      <c r="P142" s="980"/>
      <c r="Q142" s="412"/>
      <c r="R142" s="1190"/>
      <c r="S142" s="1192"/>
    </row>
    <row r="143" spans="1:19" ht="52.5" customHeight="1">
      <c r="A143" s="408">
        <v>47</v>
      </c>
      <c r="B143" s="983" t="s">
        <v>2725</v>
      </c>
      <c r="C143" s="495" t="s">
        <v>89</v>
      </c>
      <c r="D143" s="984"/>
      <c r="E143" s="408" t="s">
        <v>1561</v>
      </c>
      <c r="F143" s="920" t="s">
        <v>1614</v>
      </c>
      <c r="G143" s="920" t="s">
        <v>1259</v>
      </c>
      <c r="H143" s="408" t="s">
        <v>1253</v>
      </c>
      <c r="I143" s="985"/>
      <c r="J143" s="931">
        <v>4076</v>
      </c>
      <c r="K143" s="931">
        <f>J143*50%</f>
        <v>2038</v>
      </c>
      <c r="L143" s="980">
        <v>1000</v>
      </c>
      <c r="M143" s="980">
        <v>0</v>
      </c>
      <c r="N143" s="980">
        <v>1000</v>
      </c>
      <c r="O143" s="491"/>
      <c r="P143" s="980"/>
      <c r="Q143" s="412"/>
      <c r="R143" s="1190"/>
      <c r="S143" s="1192"/>
    </row>
    <row r="144" spans="1:19" ht="54.75" customHeight="1">
      <c r="A144" s="408">
        <v>48</v>
      </c>
      <c r="B144" s="983" t="s">
        <v>2726</v>
      </c>
      <c r="C144" s="495" t="s">
        <v>89</v>
      </c>
      <c r="D144" s="984"/>
      <c r="E144" s="408" t="s">
        <v>1561</v>
      </c>
      <c r="F144" s="920" t="s">
        <v>1614</v>
      </c>
      <c r="G144" s="920" t="s">
        <v>1259</v>
      </c>
      <c r="H144" s="408" t="s">
        <v>1480</v>
      </c>
      <c r="I144" s="985"/>
      <c r="J144" s="931">
        <v>1600</v>
      </c>
      <c r="K144" s="931">
        <f>J144*50%</f>
        <v>800</v>
      </c>
      <c r="L144" s="980">
        <v>800</v>
      </c>
      <c r="M144" s="980">
        <v>500</v>
      </c>
      <c r="N144" s="980">
        <v>800</v>
      </c>
      <c r="O144" s="491"/>
      <c r="P144" s="980"/>
      <c r="Q144" s="412"/>
      <c r="R144" s="1190"/>
      <c r="S144" s="1192"/>
    </row>
    <row r="145" spans="1:27" ht="55.5" customHeight="1">
      <c r="A145" s="408">
        <v>49</v>
      </c>
      <c r="B145" s="983" t="s">
        <v>2727</v>
      </c>
      <c r="C145" s="495" t="s">
        <v>89</v>
      </c>
      <c r="D145" s="984"/>
      <c r="E145" s="408" t="s">
        <v>1561</v>
      </c>
      <c r="F145" s="920" t="s">
        <v>1614</v>
      </c>
      <c r="G145" s="920" t="s">
        <v>1259</v>
      </c>
      <c r="H145" s="408" t="s">
        <v>1480</v>
      </c>
      <c r="I145" s="985"/>
      <c r="J145" s="931">
        <v>1892</v>
      </c>
      <c r="K145" s="931">
        <f>J145*50%</f>
        <v>946</v>
      </c>
      <c r="L145" s="980">
        <v>946</v>
      </c>
      <c r="M145" s="980">
        <v>0</v>
      </c>
      <c r="N145" s="980">
        <v>946</v>
      </c>
      <c r="O145" s="491"/>
      <c r="P145" s="980"/>
      <c r="Q145" s="412"/>
      <c r="R145" s="1190"/>
      <c r="S145" s="1192"/>
    </row>
    <row r="146" spans="1:27" ht="65.25" customHeight="1">
      <c r="A146" s="408">
        <v>50</v>
      </c>
      <c r="B146" s="983" t="s">
        <v>2728</v>
      </c>
      <c r="C146" s="495" t="s">
        <v>89</v>
      </c>
      <c r="D146" s="883">
        <v>8095808</v>
      </c>
      <c r="E146" s="408" t="s">
        <v>2615</v>
      </c>
      <c r="F146" s="920" t="s">
        <v>1614</v>
      </c>
      <c r="G146" s="984" t="s">
        <v>2729</v>
      </c>
      <c r="H146" s="408" t="s">
        <v>1253</v>
      </c>
      <c r="I146" s="968" t="s">
        <v>2730</v>
      </c>
      <c r="J146" s="931">
        <v>1300</v>
      </c>
      <c r="K146" s="931">
        <f>J146*70%</f>
        <v>909.99999999999989</v>
      </c>
      <c r="L146" s="980">
        <v>909.99999999999989</v>
      </c>
      <c r="M146" s="980">
        <v>900</v>
      </c>
      <c r="N146" s="980">
        <v>910</v>
      </c>
      <c r="O146" s="491"/>
      <c r="P146" s="980"/>
      <c r="Q146" s="412"/>
      <c r="R146" s="1190"/>
      <c r="S146" s="1192"/>
    </row>
    <row r="147" spans="1:27" ht="59.25" customHeight="1">
      <c r="A147" s="408">
        <v>51</v>
      </c>
      <c r="B147" s="979" t="s">
        <v>2731</v>
      </c>
      <c r="C147" s="495" t="s">
        <v>89</v>
      </c>
      <c r="D147" s="920"/>
      <c r="E147" s="408" t="s">
        <v>1710</v>
      </c>
      <c r="F147" s="920" t="s">
        <v>2732</v>
      </c>
      <c r="G147" s="920" t="s">
        <v>1370</v>
      </c>
      <c r="H147" s="408" t="s">
        <v>1480</v>
      </c>
      <c r="I147" s="1068"/>
      <c r="J147" s="931">
        <v>924</v>
      </c>
      <c r="K147" s="931">
        <f>J147*50%</f>
        <v>462</v>
      </c>
      <c r="L147" s="980">
        <v>462</v>
      </c>
      <c r="M147" s="980">
        <v>0</v>
      </c>
      <c r="N147" s="980">
        <v>462</v>
      </c>
      <c r="O147" s="491"/>
      <c r="P147" s="980"/>
      <c r="Q147" s="412"/>
      <c r="R147" s="1190"/>
      <c r="S147" s="1192"/>
    </row>
    <row r="148" spans="1:27" ht="65.25" customHeight="1">
      <c r="A148" s="408">
        <v>52</v>
      </c>
      <c r="B148" s="979" t="s">
        <v>2733</v>
      </c>
      <c r="C148" s="495" t="s">
        <v>89</v>
      </c>
      <c r="D148" s="920"/>
      <c r="E148" s="408" t="s">
        <v>2734</v>
      </c>
      <c r="F148" s="920" t="s">
        <v>2735</v>
      </c>
      <c r="G148" s="920" t="s">
        <v>1266</v>
      </c>
      <c r="H148" s="408" t="s">
        <v>1480</v>
      </c>
      <c r="I148" s="1068"/>
      <c r="J148" s="931">
        <v>1560</v>
      </c>
      <c r="K148" s="931">
        <f>J148*30%</f>
        <v>468</v>
      </c>
      <c r="L148" s="980">
        <v>468</v>
      </c>
      <c r="M148" s="980">
        <v>0</v>
      </c>
      <c r="N148" s="980">
        <v>468</v>
      </c>
      <c r="O148" s="491"/>
      <c r="P148" s="980"/>
      <c r="Q148" s="412"/>
      <c r="R148" s="1190"/>
      <c r="S148" s="1192"/>
    </row>
    <row r="149" spans="1:27" s="883" customFormat="1" ht="54.75" customHeight="1">
      <c r="A149" s="988" t="s">
        <v>150</v>
      </c>
      <c r="B149" s="895" t="s">
        <v>1630</v>
      </c>
      <c r="C149" s="495"/>
      <c r="D149" s="894"/>
      <c r="E149" s="894"/>
      <c r="F149" s="894"/>
      <c r="G149" s="894"/>
      <c r="H149" s="894"/>
      <c r="I149" s="896"/>
      <c r="J149" s="897">
        <f>J150</f>
        <v>178534</v>
      </c>
      <c r="K149" s="897">
        <f t="shared" ref="K149:P149" si="17">K150</f>
        <v>148496.5</v>
      </c>
      <c r="L149" s="897">
        <f t="shared" si="17"/>
        <v>140656</v>
      </c>
      <c r="M149" s="897">
        <f t="shared" si="17"/>
        <v>107281</v>
      </c>
      <c r="N149" s="897">
        <f t="shared" si="17"/>
        <v>140656</v>
      </c>
      <c r="O149" s="897">
        <f t="shared" si="17"/>
        <v>6776</v>
      </c>
      <c r="P149" s="897">
        <f t="shared" si="17"/>
        <v>6776</v>
      </c>
      <c r="Q149" s="882"/>
      <c r="R149" s="989">
        <f>N149-L149</f>
        <v>0</v>
      </c>
      <c r="S149" s="899">
        <f t="shared" ref="S149:AA149" si="18">SUM(S151:S170)</f>
        <v>0</v>
      </c>
      <c r="T149" s="897">
        <f t="shared" si="18"/>
        <v>23426</v>
      </c>
      <c r="U149" s="897">
        <f t="shared" si="18"/>
        <v>0</v>
      </c>
      <c r="V149" s="897">
        <f t="shared" si="18"/>
        <v>23300</v>
      </c>
      <c r="W149" s="897">
        <f t="shared" si="18"/>
        <v>38100</v>
      </c>
      <c r="X149" s="897">
        <f t="shared" si="18"/>
        <v>0</v>
      </c>
      <c r="Y149" s="897">
        <f t="shared" si="18"/>
        <v>47760</v>
      </c>
      <c r="Z149" s="897">
        <f t="shared" si="18"/>
        <v>45755</v>
      </c>
      <c r="AA149" s="897">
        <f t="shared" si="18"/>
        <v>0</v>
      </c>
    </row>
    <row r="150" spans="1:27" s="883" customFormat="1" ht="45" customHeight="1">
      <c r="A150" s="988" t="s">
        <v>279</v>
      </c>
      <c r="B150" s="900" t="s">
        <v>685</v>
      </c>
      <c r="C150" s="495"/>
      <c r="D150" s="894"/>
      <c r="E150" s="894"/>
      <c r="F150" s="894"/>
      <c r="G150" s="894"/>
      <c r="H150" s="894"/>
      <c r="I150" s="896"/>
      <c r="J150" s="964">
        <f>SUM(J151:J170)</f>
        <v>178534</v>
      </c>
      <c r="K150" s="964">
        <f t="shared" ref="K150" si="19">SUM(K151:K170)</f>
        <v>148496.5</v>
      </c>
      <c r="L150" s="964">
        <f>SUM(L151:L171)</f>
        <v>140656</v>
      </c>
      <c r="M150" s="964">
        <f t="shared" ref="M150:P150" si="20">SUM(M151:M171)</f>
        <v>107281</v>
      </c>
      <c r="N150" s="964">
        <f t="shared" si="20"/>
        <v>140656</v>
      </c>
      <c r="O150" s="964">
        <f t="shared" si="20"/>
        <v>6776</v>
      </c>
      <c r="P150" s="964">
        <f t="shared" si="20"/>
        <v>6776</v>
      </c>
      <c r="Q150" s="910"/>
      <c r="R150" s="936">
        <f>O150-P150</f>
        <v>0</v>
      </c>
      <c r="S150" s="908"/>
      <c r="T150" s="417"/>
      <c r="U150" s="417"/>
      <c r="V150" s="403"/>
      <c r="W150" s="403"/>
      <c r="X150" s="403"/>
      <c r="Y150" s="403"/>
      <c r="Z150" s="403"/>
      <c r="AA150" s="403"/>
    </row>
    <row r="151" spans="1:27" s="908" customFormat="1" ht="62.25" customHeight="1">
      <c r="A151" s="920">
        <v>1</v>
      </c>
      <c r="B151" s="965" t="s">
        <v>2736</v>
      </c>
      <c r="C151" s="495" t="s">
        <v>89</v>
      </c>
      <c r="D151" s="920">
        <v>7864265</v>
      </c>
      <c r="E151" s="408" t="s">
        <v>2737</v>
      </c>
      <c r="F151" s="920" t="s">
        <v>852</v>
      </c>
      <c r="G151" s="920" t="s">
        <v>1353</v>
      </c>
      <c r="H151" s="408" t="s">
        <v>673</v>
      </c>
      <c r="I151" s="923" t="s">
        <v>2738</v>
      </c>
      <c r="J151" s="966">
        <v>10000</v>
      </c>
      <c r="K151" s="966">
        <f>J151*0.9</f>
        <v>9000</v>
      </c>
      <c r="L151" s="491">
        <v>6720</v>
      </c>
      <c r="M151" s="950">
        <v>6430</v>
      </c>
      <c r="N151" s="950">
        <v>6430</v>
      </c>
      <c r="O151" s="950"/>
      <c r="P151" s="950">
        <v>290</v>
      </c>
      <c r="Q151" s="495" t="s">
        <v>2246</v>
      </c>
      <c r="R151" s="902">
        <f>R150-R149</f>
        <v>0</v>
      </c>
      <c r="S151" s="972"/>
      <c r="T151" s="950">
        <v>6100</v>
      </c>
      <c r="U151" s="935"/>
      <c r="V151" s="950">
        <v>6100</v>
      </c>
      <c r="W151" s="950">
        <v>330</v>
      </c>
      <c r="X151" s="495" t="s">
        <v>2243</v>
      </c>
      <c r="Y151" s="495"/>
      <c r="Z151" s="417"/>
      <c r="AA151" s="417"/>
    </row>
    <row r="152" spans="1:27" s="908" customFormat="1" ht="70.5" customHeight="1">
      <c r="A152" s="920">
        <v>2</v>
      </c>
      <c r="B152" s="965" t="s">
        <v>2739</v>
      </c>
      <c r="C152" s="495" t="s">
        <v>89</v>
      </c>
      <c r="D152" s="920">
        <v>7863517</v>
      </c>
      <c r="E152" s="408" t="s">
        <v>2737</v>
      </c>
      <c r="F152" s="920" t="s">
        <v>852</v>
      </c>
      <c r="G152" s="920" t="s">
        <v>1353</v>
      </c>
      <c r="H152" s="408" t="s">
        <v>673</v>
      </c>
      <c r="I152" s="923" t="s">
        <v>2740</v>
      </c>
      <c r="J152" s="966">
        <v>49820</v>
      </c>
      <c r="K152" s="966">
        <f>J152*0.9</f>
        <v>44838</v>
      </c>
      <c r="L152" s="491">
        <v>44838</v>
      </c>
      <c r="M152" s="950">
        <f>4700+19160+20978</f>
        <v>44838</v>
      </c>
      <c r="N152" s="950">
        <v>44838</v>
      </c>
      <c r="O152" s="950"/>
      <c r="P152" s="950"/>
      <c r="Q152" s="495"/>
      <c r="R152" s="902"/>
      <c r="S152" s="972"/>
      <c r="T152" s="950">
        <v>4700</v>
      </c>
      <c r="U152" s="935"/>
      <c r="V152" s="950">
        <v>4700</v>
      </c>
      <c r="W152" s="950">
        <v>19160</v>
      </c>
      <c r="X152" s="495" t="s">
        <v>2741</v>
      </c>
      <c r="Y152" s="950">
        <v>23860</v>
      </c>
      <c r="Z152" s="990">
        <v>20978</v>
      </c>
      <c r="AA152" s="417"/>
    </row>
    <row r="153" spans="1:27" s="908" customFormat="1" ht="62.25" customHeight="1">
      <c r="A153" s="920">
        <v>3</v>
      </c>
      <c r="B153" s="965" t="s">
        <v>2742</v>
      </c>
      <c r="C153" s="495" t="s">
        <v>89</v>
      </c>
      <c r="D153" s="403">
        <v>7894172</v>
      </c>
      <c r="E153" s="920" t="s">
        <v>2743</v>
      </c>
      <c r="F153" s="991" t="s">
        <v>852</v>
      </c>
      <c r="G153" s="920" t="s">
        <v>2744</v>
      </c>
      <c r="H153" s="408" t="s">
        <v>673</v>
      </c>
      <c r="I153" s="923" t="s">
        <v>2745</v>
      </c>
      <c r="J153" s="966">
        <v>420</v>
      </c>
      <c r="K153" s="966">
        <f>J153*0.3</f>
        <v>126</v>
      </c>
      <c r="L153" s="491">
        <v>126</v>
      </c>
      <c r="M153" s="950">
        <v>126</v>
      </c>
      <c r="N153" s="950">
        <v>126</v>
      </c>
      <c r="O153" s="950"/>
      <c r="P153" s="950"/>
      <c r="Q153" s="495"/>
      <c r="R153" s="902"/>
      <c r="S153" s="972"/>
      <c r="T153" s="950">
        <v>126</v>
      </c>
      <c r="U153" s="935"/>
      <c r="V153" s="417"/>
      <c r="W153" s="417"/>
      <c r="X153" s="417"/>
      <c r="Y153" s="417"/>
      <c r="Z153" s="417"/>
      <c r="AA153" s="417"/>
    </row>
    <row r="154" spans="1:27" s="908" customFormat="1" ht="90" customHeight="1">
      <c r="A154" s="920">
        <v>4</v>
      </c>
      <c r="B154" s="965" t="s">
        <v>2746</v>
      </c>
      <c r="C154" s="495" t="s">
        <v>89</v>
      </c>
      <c r="D154" s="920">
        <v>7864263</v>
      </c>
      <c r="E154" s="408" t="s">
        <v>2737</v>
      </c>
      <c r="F154" s="920" t="s">
        <v>852</v>
      </c>
      <c r="G154" s="920" t="s">
        <v>2747</v>
      </c>
      <c r="H154" s="920" t="s">
        <v>673</v>
      </c>
      <c r="I154" s="923" t="s">
        <v>2748</v>
      </c>
      <c r="J154" s="966">
        <v>3000</v>
      </c>
      <c r="K154" s="966">
        <f>J154*0.8</f>
        <v>2400</v>
      </c>
      <c r="L154" s="491">
        <v>2400</v>
      </c>
      <c r="M154" s="950">
        <f>1400+758</f>
        <v>2158</v>
      </c>
      <c r="N154" s="950">
        <v>2158</v>
      </c>
      <c r="O154" s="950"/>
      <c r="P154" s="950">
        <v>242</v>
      </c>
      <c r="Q154" s="495" t="s">
        <v>2246</v>
      </c>
      <c r="R154" s="902"/>
      <c r="S154" s="972"/>
      <c r="T154" s="950">
        <v>1400</v>
      </c>
      <c r="U154" s="935"/>
      <c r="V154" s="950">
        <v>1400</v>
      </c>
      <c r="W154" s="950">
        <v>758</v>
      </c>
      <c r="X154" s="495" t="s">
        <v>2243</v>
      </c>
      <c r="Y154" s="495"/>
      <c r="Z154" s="417"/>
      <c r="AA154" s="417"/>
    </row>
    <row r="155" spans="1:27" s="908" customFormat="1" ht="63" customHeight="1">
      <c r="A155" s="920">
        <v>5</v>
      </c>
      <c r="B155" s="921" t="s">
        <v>2749</v>
      </c>
      <c r="C155" s="495" t="s">
        <v>89</v>
      </c>
      <c r="D155" s="920">
        <v>7890598</v>
      </c>
      <c r="E155" s="408" t="s">
        <v>2737</v>
      </c>
      <c r="F155" s="920" t="s">
        <v>2750</v>
      </c>
      <c r="G155" s="920" t="s">
        <v>1353</v>
      </c>
      <c r="H155" s="920" t="s">
        <v>2751</v>
      </c>
      <c r="I155" s="910" t="s">
        <v>2752</v>
      </c>
      <c r="J155" s="491">
        <v>8500</v>
      </c>
      <c r="K155" s="966">
        <f>J155*0.9</f>
        <v>7650</v>
      </c>
      <c r="L155" s="491">
        <v>7650</v>
      </c>
      <c r="M155" s="950">
        <f>2800+2300+1550</f>
        <v>6650</v>
      </c>
      <c r="N155" s="950">
        <v>6650</v>
      </c>
      <c r="O155" s="950"/>
      <c r="P155" s="950">
        <v>1000</v>
      </c>
      <c r="Q155" s="495" t="s">
        <v>2246</v>
      </c>
      <c r="R155" s="902"/>
      <c r="S155" s="972"/>
      <c r="T155" s="950">
        <v>2800</v>
      </c>
      <c r="U155" s="935"/>
      <c r="V155" s="950">
        <v>2800</v>
      </c>
      <c r="W155" s="950">
        <v>2300</v>
      </c>
      <c r="X155" s="495"/>
      <c r="Y155" s="950">
        <v>5100</v>
      </c>
      <c r="Z155" s="992">
        <v>1550</v>
      </c>
      <c r="AA155" s="417"/>
    </row>
    <row r="156" spans="1:27" s="908" customFormat="1" ht="71.25" customHeight="1">
      <c r="A156" s="920">
        <v>6</v>
      </c>
      <c r="B156" s="973" t="s">
        <v>2753</v>
      </c>
      <c r="C156" s="495" t="s">
        <v>89</v>
      </c>
      <c r="D156" s="920">
        <v>7927202</v>
      </c>
      <c r="E156" s="920" t="s">
        <v>823</v>
      </c>
      <c r="F156" s="975" t="s">
        <v>824</v>
      </c>
      <c r="G156" s="920" t="s">
        <v>1279</v>
      </c>
      <c r="H156" s="920" t="s">
        <v>1681</v>
      </c>
      <c r="I156" s="910" t="s">
        <v>2754</v>
      </c>
      <c r="J156" s="491">
        <v>25000</v>
      </c>
      <c r="K156" s="966">
        <f>J156*0.9</f>
        <v>22500</v>
      </c>
      <c r="L156" s="950">
        <v>22300</v>
      </c>
      <c r="M156" s="950">
        <f>5300+10500+1700</f>
        <v>17500</v>
      </c>
      <c r="N156" s="950">
        <v>17500</v>
      </c>
      <c r="O156" s="950"/>
      <c r="P156" s="950">
        <v>4800</v>
      </c>
      <c r="Q156" s="495" t="s">
        <v>2246</v>
      </c>
      <c r="R156" s="902"/>
      <c r="S156" s="972"/>
      <c r="T156" s="950">
        <v>5300</v>
      </c>
      <c r="U156" s="935"/>
      <c r="V156" s="950">
        <v>5300</v>
      </c>
      <c r="W156" s="950">
        <v>10500</v>
      </c>
      <c r="X156" s="495"/>
      <c r="Y156" s="950">
        <v>15800</v>
      </c>
      <c r="Z156" s="993">
        <v>1700</v>
      </c>
      <c r="AA156" s="417"/>
    </row>
    <row r="157" spans="1:27" s="908" customFormat="1" ht="70.5" customHeight="1">
      <c r="A157" s="920">
        <v>7</v>
      </c>
      <c r="B157" s="994" t="s">
        <v>2755</v>
      </c>
      <c r="C157" s="495" t="s">
        <v>89</v>
      </c>
      <c r="D157" s="920">
        <v>7947183</v>
      </c>
      <c r="E157" s="920" t="s">
        <v>823</v>
      </c>
      <c r="F157" s="975" t="s">
        <v>824</v>
      </c>
      <c r="G157" s="920" t="s">
        <v>2756</v>
      </c>
      <c r="H157" s="920" t="s">
        <v>1681</v>
      </c>
      <c r="I157" s="910" t="s">
        <v>2757</v>
      </c>
      <c r="J157" s="491">
        <v>3000</v>
      </c>
      <c r="K157" s="966">
        <f>J157*0.8</f>
        <v>2400</v>
      </c>
      <c r="L157" s="491">
        <v>2400</v>
      </c>
      <c r="M157" s="950">
        <f>1500+852</f>
        <v>2352</v>
      </c>
      <c r="N157" s="950">
        <v>2352</v>
      </c>
      <c r="O157" s="950"/>
      <c r="P157" s="950">
        <v>48</v>
      </c>
      <c r="Q157" s="495" t="s">
        <v>2246</v>
      </c>
      <c r="R157" s="902"/>
      <c r="S157" s="972"/>
      <c r="T157" s="950">
        <v>1500</v>
      </c>
      <c r="U157" s="935"/>
      <c r="V157" s="950">
        <v>1500</v>
      </c>
      <c r="W157" s="950">
        <v>852</v>
      </c>
      <c r="X157" s="495" t="s">
        <v>2243</v>
      </c>
      <c r="Y157" s="495"/>
      <c r="Z157" s="417"/>
      <c r="AA157" s="417"/>
    </row>
    <row r="158" spans="1:27" s="908" customFormat="1" ht="72.75" customHeight="1">
      <c r="A158" s="920">
        <v>8</v>
      </c>
      <c r="B158" s="994" t="s">
        <v>2758</v>
      </c>
      <c r="C158" s="495" t="s">
        <v>89</v>
      </c>
      <c r="D158" s="920">
        <v>7927199</v>
      </c>
      <c r="E158" s="920" t="s">
        <v>823</v>
      </c>
      <c r="F158" s="975" t="s">
        <v>824</v>
      </c>
      <c r="G158" s="920" t="s">
        <v>1279</v>
      </c>
      <c r="H158" s="920" t="s">
        <v>1681</v>
      </c>
      <c r="I158" s="923" t="s">
        <v>2759</v>
      </c>
      <c r="J158" s="491">
        <v>3000</v>
      </c>
      <c r="K158" s="966">
        <f>J158*0.9</f>
        <v>2700</v>
      </c>
      <c r="L158" s="950">
        <v>2700</v>
      </c>
      <c r="M158" s="950">
        <f>1500+1200</f>
        <v>2700</v>
      </c>
      <c r="N158" s="950">
        <v>2700</v>
      </c>
      <c r="O158" s="950"/>
      <c r="P158" s="950"/>
      <c r="Q158" s="495"/>
      <c r="R158" s="902"/>
      <c r="S158" s="972"/>
      <c r="T158" s="950">
        <v>1500</v>
      </c>
      <c r="U158" s="935"/>
      <c r="V158" s="950">
        <v>1500</v>
      </c>
      <c r="W158" s="950">
        <v>1200</v>
      </c>
      <c r="X158" s="495" t="s">
        <v>2243</v>
      </c>
      <c r="Y158" s="495"/>
      <c r="Z158" s="417"/>
      <c r="AA158" s="417"/>
    </row>
    <row r="159" spans="1:27" s="883" customFormat="1" ht="67.5" customHeight="1">
      <c r="A159" s="920">
        <v>9</v>
      </c>
      <c r="B159" s="973" t="s">
        <v>2760</v>
      </c>
      <c r="C159" s="495" t="s">
        <v>89</v>
      </c>
      <c r="D159" s="403">
        <v>7927203</v>
      </c>
      <c r="E159" s="920" t="s">
        <v>823</v>
      </c>
      <c r="F159" s="920" t="s">
        <v>1686</v>
      </c>
      <c r="G159" s="920" t="s">
        <v>1279</v>
      </c>
      <c r="H159" s="920" t="s">
        <v>1318</v>
      </c>
      <c r="I159" s="910" t="s">
        <v>2761</v>
      </c>
      <c r="J159" s="491">
        <v>13500</v>
      </c>
      <c r="K159" s="491">
        <f>J159*0.8</f>
        <v>10800</v>
      </c>
      <c r="L159" s="491">
        <v>10800</v>
      </c>
      <c r="M159" s="950">
        <f>3000+7800</f>
        <v>10800</v>
      </c>
      <c r="N159" s="950">
        <v>10800</v>
      </c>
      <c r="O159" s="950"/>
      <c r="P159" s="950"/>
      <c r="Q159" s="910"/>
      <c r="R159" s="909"/>
      <c r="S159" s="972"/>
      <c r="T159" s="935"/>
      <c r="U159" s="935"/>
      <c r="V159" s="950"/>
      <c r="W159" s="950">
        <v>3000</v>
      </c>
      <c r="X159" s="495"/>
      <c r="Y159" s="1075">
        <v>3000</v>
      </c>
      <c r="Z159" s="995">
        <v>7800</v>
      </c>
      <c r="AA159" s="403"/>
    </row>
    <row r="160" spans="1:27" s="883" customFormat="1" ht="131.25" customHeight="1">
      <c r="A160" s="920">
        <v>10</v>
      </c>
      <c r="B160" s="996" t="s">
        <v>2762</v>
      </c>
      <c r="C160" s="495" t="s">
        <v>89</v>
      </c>
      <c r="D160" s="997">
        <v>8058038</v>
      </c>
      <c r="E160" s="920" t="s">
        <v>823</v>
      </c>
      <c r="F160" s="920" t="s">
        <v>1668</v>
      </c>
      <c r="G160" s="920" t="s">
        <v>1353</v>
      </c>
      <c r="H160" s="403" t="s">
        <v>1253</v>
      </c>
      <c r="I160" s="998" t="s">
        <v>2763</v>
      </c>
      <c r="J160" s="491">
        <v>6505</v>
      </c>
      <c r="K160" s="491">
        <f>J160*0.8</f>
        <v>5204</v>
      </c>
      <c r="L160" s="913">
        <v>5600</v>
      </c>
      <c r="M160" s="950">
        <v>3000</v>
      </c>
      <c r="N160" s="950">
        <v>5204</v>
      </c>
      <c r="O160" s="950"/>
      <c r="P160" s="950">
        <v>396</v>
      </c>
      <c r="Q160" s="910" t="s">
        <v>2764</v>
      </c>
      <c r="R160" s="902"/>
      <c r="S160" s="972"/>
      <c r="T160" s="935"/>
      <c r="U160" s="935"/>
      <c r="V160" s="403"/>
      <c r="W160" s="403"/>
      <c r="X160" s="403"/>
      <c r="Y160" s="950"/>
      <c r="Z160" s="999">
        <v>3000</v>
      </c>
      <c r="AA160" s="403"/>
    </row>
    <row r="161" spans="1:27" s="883" customFormat="1" ht="61.5" customHeight="1">
      <c r="A161" s="920">
        <v>11</v>
      </c>
      <c r="B161" s="937" t="s">
        <v>2765</v>
      </c>
      <c r="C161" s="495" t="s">
        <v>89</v>
      </c>
      <c r="D161" s="1000">
        <v>8058039</v>
      </c>
      <c r="E161" s="920" t="s">
        <v>823</v>
      </c>
      <c r="F161" s="920" t="s">
        <v>1668</v>
      </c>
      <c r="G161" s="920" t="s">
        <v>1353</v>
      </c>
      <c r="H161" s="403" t="s">
        <v>1253</v>
      </c>
      <c r="I161" s="408" t="s">
        <v>2766</v>
      </c>
      <c r="J161" s="491">
        <v>4000</v>
      </c>
      <c r="K161" s="491">
        <f>J161*0.8</f>
        <v>3200</v>
      </c>
      <c r="L161" s="913">
        <v>3200</v>
      </c>
      <c r="M161" s="950">
        <v>1500</v>
      </c>
      <c r="N161" s="950">
        <v>3200</v>
      </c>
      <c r="O161" s="950"/>
      <c r="P161" s="950"/>
      <c r="Q161" s="495"/>
      <c r="R161" s="902"/>
      <c r="S161" s="972"/>
      <c r="T161" s="935"/>
      <c r="U161" s="935"/>
      <c r="V161" s="403"/>
      <c r="W161" s="403"/>
      <c r="X161" s="403"/>
      <c r="Y161" s="950"/>
      <c r="Z161" s="999">
        <v>1500</v>
      </c>
      <c r="AA161" s="403"/>
    </row>
    <row r="162" spans="1:27" s="883" customFormat="1" ht="66" customHeight="1">
      <c r="A162" s="920">
        <v>12</v>
      </c>
      <c r="B162" s="965" t="s">
        <v>2767</v>
      </c>
      <c r="C162" s="495" t="s">
        <v>89</v>
      </c>
      <c r="D162" s="894"/>
      <c r="E162" s="920" t="s">
        <v>823</v>
      </c>
      <c r="F162" s="920" t="s">
        <v>1689</v>
      </c>
      <c r="G162" s="920" t="s">
        <v>1279</v>
      </c>
      <c r="H162" s="403" t="s">
        <v>1253</v>
      </c>
      <c r="I162" s="403"/>
      <c r="J162" s="491">
        <v>25000</v>
      </c>
      <c r="K162" s="491">
        <f>J162*0.8</f>
        <v>20000</v>
      </c>
      <c r="L162" s="913">
        <v>16853</v>
      </c>
      <c r="M162" s="950">
        <v>500</v>
      </c>
      <c r="N162" s="950">
        <v>20000</v>
      </c>
      <c r="O162" s="950">
        <f t="shared" ref="O161:O170" si="21">N162-L162</f>
        <v>3147</v>
      </c>
      <c r="P162" s="950"/>
      <c r="Q162" s="942" t="s">
        <v>2566</v>
      </c>
      <c r="R162" s="956"/>
      <c r="S162" s="883" t="s">
        <v>2567</v>
      </c>
      <c r="T162" s="403"/>
      <c r="U162" s="403"/>
      <c r="V162" s="403"/>
      <c r="W162" s="403"/>
      <c r="X162" s="403"/>
      <c r="Y162" s="403"/>
      <c r="Z162" s="403">
        <v>500</v>
      </c>
      <c r="AA162" s="403"/>
    </row>
    <row r="163" spans="1:27" s="883" customFormat="1" ht="76.5" customHeight="1">
      <c r="A163" s="920">
        <v>13</v>
      </c>
      <c r="B163" s="979" t="s">
        <v>2768</v>
      </c>
      <c r="C163" s="495" t="s">
        <v>89</v>
      </c>
      <c r="D163" s="982" t="s">
        <v>2769</v>
      </c>
      <c r="E163" s="920" t="s">
        <v>823</v>
      </c>
      <c r="F163" s="920" t="s">
        <v>1668</v>
      </c>
      <c r="G163" s="920" t="s">
        <v>2770</v>
      </c>
      <c r="H163" s="403" t="s">
        <v>1253</v>
      </c>
      <c r="I163" s="408" t="s">
        <v>2771</v>
      </c>
      <c r="J163" s="1001">
        <v>5774</v>
      </c>
      <c r="K163" s="1001">
        <f>0.7*J163</f>
        <v>4041.7999999999997</v>
      </c>
      <c r="L163" s="913">
        <v>4042</v>
      </c>
      <c r="M163" s="950">
        <v>2000</v>
      </c>
      <c r="N163" s="950">
        <v>4042</v>
      </c>
      <c r="O163" s="950"/>
      <c r="P163" s="950"/>
      <c r="Q163" s="910"/>
      <c r="R163" s="909"/>
      <c r="S163" s="972"/>
      <c r="T163" s="935"/>
      <c r="U163" s="935"/>
      <c r="V163" s="403"/>
      <c r="W163" s="403"/>
      <c r="X163" s="403"/>
      <c r="Y163" s="906"/>
      <c r="Z163" s="999">
        <v>2000</v>
      </c>
      <c r="AA163" s="403"/>
    </row>
    <row r="164" spans="1:27" s="883" customFormat="1" ht="67.5" customHeight="1">
      <c r="A164" s="920">
        <v>14</v>
      </c>
      <c r="B164" s="979" t="s">
        <v>2772</v>
      </c>
      <c r="C164" s="495" t="s">
        <v>89</v>
      </c>
      <c r="D164" s="1002">
        <v>8058041</v>
      </c>
      <c r="E164" s="920" t="s">
        <v>823</v>
      </c>
      <c r="F164" s="920" t="s">
        <v>1689</v>
      </c>
      <c r="G164" s="920" t="s">
        <v>2773</v>
      </c>
      <c r="H164" s="403" t="s">
        <v>1480</v>
      </c>
      <c r="I164" s="1003" t="s">
        <v>2774</v>
      </c>
      <c r="J164" s="1001">
        <v>4753</v>
      </c>
      <c r="K164" s="1001">
        <f>0.7*J164</f>
        <v>3327.1</v>
      </c>
      <c r="L164" s="913">
        <v>3327</v>
      </c>
      <c r="M164" s="950">
        <v>3327</v>
      </c>
      <c r="N164" s="950">
        <v>3327</v>
      </c>
      <c r="O164" s="950"/>
      <c r="P164" s="950"/>
      <c r="Q164" s="910"/>
      <c r="R164" s="909"/>
      <c r="S164" s="972"/>
      <c r="T164" s="935"/>
      <c r="U164" s="935"/>
      <c r="V164" s="403"/>
      <c r="W164" s="403"/>
      <c r="X164" s="403"/>
      <c r="Y164" s="1076"/>
      <c r="Z164" s="999">
        <v>3327</v>
      </c>
      <c r="AA164" s="403"/>
    </row>
    <row r="165" spans="1:27" ht="61.5" customHeight="1">
      <c r="A165" s="920">
        <v>15</v>
      </c>
      <c r="B165" s="415" t="s">
        <v>2775</v>
      </c>
      <c r="C165" s="495" t="s">
        <v>89</v>
      </c>
      <c r="D165" s="403"/>
      <c r="E165" s="920" t="s">
        <v>823</v>
      </c>
      <c r="F165" s="920" t="s">
        <v>1694</v>
      </c>
      <c r="G165" s="403"/>
      <c r="H165" s="920" t="s">
        <v>1253</v>
      </c>
      <c r="I165" s="920"/>
      <c r="J165" s="1001">
        <v>4000</v>
      </c>
      <c r="K165" s="1001">
        <f>J165*0.8</f>
        <v>3200</v>
      </c>
      <c r="L165" s="491">
        <v>2000</v>
      </c>
      <c r="M165" s="950">
        <f>T165+U165+W165+Z165</f>
        <v>0</v>
      </c>
      <c r="N165" s="950">
        <v>3200</v>
      </c>
      <c r="O165" s="950">
        <f t="shared" si="21"/>
        <v>1200</v>
      </c>
      <c r="P165" s="950"/>
      <c r="Q165" s="942" t="s">
        <v>2566</v>
      </c>
      <c r="R165" s="956"/>
      <c r="S165" s="972" t="s">
        <v>2567</v>
      </c>
      <c r="T165" s="935"/>
      <c r="U165" s="935"/>
      <c r="V165" s="1068"/>
      <c r="W165" s="1068"/>
      <c r="X165" s="1068"/>
      <c r="Y165" s="1068"/>
      <c r="Z165" s="1068"/>
      <c r="AA165" s="1068"/>
    </row>
    <row r="166" spans="1:27" s="1194" customFormat="1" ht="123.75" customHeight="1">
      <c r="A166" s="920">
        <v>16</v>
      </c>
      <c r="B166" s="415" t="s">
        <v>2776</v>
      </c>
      <c r="C166" s="495" t="s">
        <v>89</v>
      </c>
      <c r="D166" s="1004">
        <v>7926591</v>
      </c>
      <c r="E166" s="920" t="s">
        <v>823</v>
      </c>
      <c r="F166" s="920" t="s">
        <v>1686</v>
      </c>
      <c r="G166" s="920" t="s">
        <v>1259</v>
      </c>
      <c r="H166" s="920" t="s">
        <v>1318</v>
      </c>
      <c r="I166" s="920" t="s">
        <v>2777</v>
      </c>
      <c r="J166" s="491">
        <v>1900</v>
      </c>
      <c r="K166" s="916">
        <f>J166*0.5</f>
        <v>950</v>
      </c>
      <c r="L166" s="1005">
        <v>950</v>
      </c>
      <c r="M166" s="950">
        <v>950</v>
      </c>
      <c r="N166" s="950">
        <v>950</v>
      </c>
      <c r="O166" s="950"/>
      <c r="P166" s="950"/>
      <c r="Q166" s="408"/>
      <c r="R166" s="917"/>
      <c r="S166" s="972"/>
      <c r="T166" s="935"/>
      <c r="U166" s="935"/>
      <c r="V166" s="1193"/>
      <c r="W166" s="1193"/>
      <c r="X166" s="1193"/>
      <c r="Y166" s="950"/>
      <c r="Z166" s="999">
        <v>950</v>
      </c>
      <c r="AA166" s="1193"/>
    </row>
    <row r="167" spans="1:27" s="1194" customFormat="1" ht="129" customHeight="1">
      <c r="A167" s="920">
        <v>17</v>
      </c>
      <c r="B167" s="415" t="s">
        <v>2778</v>
      </c>
      <c r="C167" s="495" t="s">
        <v>89</v>
      </c>
      <c r="D167" s="1006">
        <v>7927204</v>
      </c>
      <c r="E167" s="920" t="s">
        <v>823</v>
      </c>
      <c r="F167" s="920" t="s">
        <v>1686</v>
      </c>
      <c r="G167" s="920" t="s">
        <v>1259</v>
      </c>
      <c r="H167" s="920" t="s">
        <v>1318</v>
      </c>
      <c r="I167" s="920" t="s">
        <v>2779</v>
      </c>
      <c r="J167" s="491">
        <v>2300</v>
      </c>
      <c r="K167" s="916">
        <f t="shared" ref="K167:K169" si="22">J167*0.5</f>
        <v>1150</v>
      </c>
      <c r="L167" s="1005">
        <v>1150</v>
      </c>
      <c r="M167" s="950">
        <v>1150</v>
      </c>
      <c r="N167" s="950">
        <v>1150</v>
      </c>
      <c r="O167" s="950"/>
      <c r="P167" s="950"/>
      <c r="Q167" s="408"/>
      <c r="R167" s="917"/>
      <c r="S167" s="972"/>
      <c r="T167" s="935"/>
      <c r="U167" s="935"/>
      <c r="V167" s="1193"/>
      <c r="W167" s="1193"/>
      <c r="X167" s="1193"/>
      <c r="Y167" s="950"/>
      <c r="Z167" s="999">
        <v>1150</v>
      </c>
      <c r="AA167" s="1193"/>
    </row>
    <row r="168" spans="1:27" ht="117.75" customHeight="1">
      <c r="A168" s="920">
        <v>18</v>
      </c>
      <c r="B168" s="415" t="s">
        <v>2780</v>
      </c>
      <c r="C168" s="495" t="s">
        <v>89</v>
      </c>
      <c r="D168" s="1007">
        <v>7926592</v>
      </c>
      <c r="E168" s="920" t="s">
        <v>823</v>
      </c>
      <c r="F168" s="920" t="s">
        <v>1686</v>
      </c>
      <c r="G168" s="920" t="s">
        <v>1259</v>
      </c>
      <c r="H168" s="1008" t="s">
        <v>1318</v>
      </c>
      <c r="I168" s="1009" t="s">
        <v>2781</v>
      </c>
      <c r="J168" s="491">
        <v>2800</v>
      </c>
      <c r="K168" s="916">
        <f t="shared" si="22"/>
        <v>1400</v>
      </c>
      <c r="L168" s="1005">
        <v>1400</v>
      </c>
      <c r="M168" s="950">
        <v>1300</v>
      </c>
      <c r="N168" s="950">
        <v>1400</v>
      </c>
      <c r="O168" s="950"/>
      <c r="P168" s="950"/>
      <c r="Q168" s="408"/>
      <c r="R168" s="917"/>
      <c r="S168" s="972"/>
      <c r="T168" s="935"/>
      <c r="U168" s="935"/>
      <c r="V168" s="1068"/>
      <c r="W168" s="1068"/>
      <c r="X168" s="1068"/>
      <c r="Y168" s="950"/>
      <c r="Z168" s="999">
        <v>1300</v>
      </c>
      <c r="AA168" s="1068"/>
    </row>
    <row r="169" spans="1:27" ht="63" customHeight="1">
      <c r="A169" s="920">
        <v>19</v>
      </c>
      <c r="B169" s="415" t="s">
        <v>2782</v>
      </c>
      <c r="C169" s="495" t="s">
        <v>89</v>
      </c>
      <c r="D169" s="403"/>
      <c r="E169" s="920" t="s">
        <v>2783</v>
      </c>
      <c r="F169" s="920" t="s">
        <v>1668</v>
      </c>
      <c r="G169" s="920" t="s">
        <v>1259</v>
      </c>
      <c r="H169" s="920" t="s">
        <v>1480</v>
      </c>
      <c r="I169" s="920" t="s">
        <v>2784</v>
      </c>
      <c r="J169" s="1001">
        <v>2000</v>
      </c>
      <c r="K169" s="916">
        <f t="shared" si="22"/>
        <v>1000</v>
      </c>
      <c r="L169" s="1005">
        <v>1000</v>
      </c>
      <c r="M169" s="950">
        <f>T169+U169+W169+Z169</f>
        <v>0</v>
      </c>
      <c r="N169" s="950">
        <v>1000</v>
      </c>
      <c r="O169" s="950"/>
      <c r="P169" s="950"/>
      <c r="Q169" s="408"/>
      <c r="R169" s="917"/>
      <c r="S169" s="972"/>
      <c r="T169" s="935"/>
      <c r="U169" s="935"/>
      <c r="V169" s="1068"/>
      <c r="W169" s="1068"/>
      <c r="X169" s="1068"/>
      <c r="Y169" s="1068"/>
      <c r="Z169" s="1068"/>
      <c r="AA169" s="1068"/>
    </row>
    <row r="170" spans="1:27" s="883" customFormat="1" ht="68.25" customHeight="1">
      <c r="A170" s="920">
        <v>20</v>
      </c>
      <c r="B170" s="937" t="s">
        <v>2785</v>
      </c>
      <c r="C170" s="495" t="s">
        <v>89</v>
      </c>
      <c r="D170" s="920"/>
      <c r="E170" s="920" t="s">
        <v>823</v>
      </c>
      <c r="F170" s="920" t="s">
        <v>2786</v>
      </c>
      <c r="G170" s="920" t="s">
        <v>1259</v>
      </c>
      <c r="H170" s="491" t="s">
        <v>1253</v>
      </c>
      <c r="I170" s="1010"/>
      <c r="J170" s="906">
        <v>3262</v>
      </c>
      <c r="K170" s="916">
        <f>J170*0.8</f>
        <v>2609.6000000000004</v>
      </c>
      <c r="L170" s="1011">
        <v>1200</v>
      </c>
      <c r="M170" s="950">
        <f>T170+U170+W170+Z170</f>
        <v>0</v>
      </c>
      <c r="N170" s="950">
        <v>2610</v>
      </c>
      <c r="O170" s="950">
        <f t="shared" si="21"/>
        <v>1410</v>
      </c>
      <c r="P170" s="950"/>
      <c r="Q170" s="942" t="s">
        <v>2566</v>
      </c>
      <c r="R170" s="956">
        <v>2610</v>
      </c>
      <c r="S170" s="972" t="s">
        <v>2567</v>
      </c>
      <c r="T170" s="935"/>
      <c r="U170" s="935"/>
      <c r="V170" s="403"/>
      <c r="W170" s="403"/>
      <c r="X170" s="403"/>
      <c r="Y170" s="403"/>
      <c r="Z170" s="403"/>
      <c r="AA170" s="403"/>
    </row>
    <row r="171" spans="1:27" s="883" customFormat="1" ht="65.45" customHeight="1">
      <c r="A171" s="920">
        <v>21</v>
      </c>
      <c r="B171" s="1077" t="s">
        <v>1683</v>
      </c>
      <c r="C171" s="920" t="s">
        <v>89</v>
      </c>
      <c r="D171" s="1012">
        <v>8058040</v>
      </c>
      <c r="E171" s="920" t="s">
        <v>823</v>
      </c>
      <c r="F171" s="920" t="s">
        <v>1684</v>
      </c>
      <c r="G171" s="1013" t="s">
        <v>1341</v>
      </c>
      <c r="H171" s="920" t="s">
        <v>1253</v>
      </c>
      <c r="I171" s="921" t="s">
        <v>2265</v>
      </c>
      <c r="J171" s="905">
        <v>23500</v>
      </c>
      <c r="K171" s="897">
        <f>J171*80%</f>
        <v>18800</v>
      </c>
      <c r="L171" s="1011"/>
      <c r="M171" s="950">
        <v>0</v>
      </c>
      <c r="N171" s="950">
        <v>1019</v>
      </c>
      <c r="O171" s="950">
        <v>1019</v>
      </c>
      <c r="P171" s="950"/>
      <c r="Q171" s="942" t="s">
        <v>2787</v>
      </c>
      <c r="R171" s="956"/>
      <c r="S171" s="972"/>
      <c r="T171" s="935"/>
      <c r="U171" s="935"/>
      <c r="V171" s="403"/>
      <c r="W171" s="403"/>
      <c r="X171" s="403"/>
      <c r="Y171" s="403"/>
      <c r="Z171" s="403"/>
      <c r="AA171" s="403"/>
    </row>
    <row r="172" spans="1:27" s="883" customFormat="1" ht="42.75" customHeight="1">
      <c r="A172" s="988" t="s">
        <v>165</v>
      </c>
      <c r="B172" s="895" t="s">
        <v>1695</v>
      </c>
      <c r="C172" s="495"/>
      <c r="D172" s="894"/>
      <c r="E172" s="894"/>
      <c r="F172" s="894"/>
      <c r="G172" s="894"/>
      <c r="H172" s="894"/>
      <c r="I172" s="896"/>
      <c r="J172" s="897">
        <f>J173</f>
        <v>96807</v>
      </c>
      <c r="K172" s="897">
        <f t="shared" ref="K172:P172" si="23">K173</f>
        <v>79685.399999999994</v>
      </c>
      <c r="L172" s="897">
        <f t="shared" si="23"/>
        <v>75688</v>
      </c>
      <c r="M172" s="897">
        <f t="shared" si="23"/>
        <v>75688</v>
      </c>
      <c r="N172" s="897">
        <f t="shared" si="23"/>
        <v>75688</v>
      </c>
      <c r="O172" s="897">
        <f t="shared" si="23"/>
        <v>847</v>
      </c>
      <c r="P172" s="897">
        <f t="shared" si="23"/>
        <v>847</v>
      </c>
      <c r="Q172" s="882"/>
      <c r="R172" s="989">
        <f>N172-L172</f>
        <v>0</v>
      </c>
      <c r="S172" s="899">
        <f t="shared" ref="S172:AA172" si="24">SUM(S174:S182)</f>
        <v>0</v>
      </c>
      <c r="T172" s="897">
        <f t="shared" si="24"/>
        <v>30659</v>
      </c>
      <c r="U172" s="897">
        <f t="shared" si="24"/>
        <v>0</v>
      </c>
      <c r="V172" s="897">
        <f t="shared" si="24"/>
        <v>30659</v>
      </c>
      <c r="W172" s="897">
        <f t="shared" si="24"/>
        <v>20590</v>
      </c>
      <c r="X172" s="897">
        <f t="shared" si="24"/>
        <v>0</v>
      </c>
      <c r="Y172" s="897">
        <f t="shared" si="24"/>
        <v>32691</v>
      </c>
      <c r="Z172" s="897">
        <f t="shared" si="24"/>
        <v>26598</v>
      </c>
      <c r="AA172" s="897">
        <f t="shared" si="24"/>
        <v>0</v>
      </c>
    </row>
    <row r="173" spans="1:27" s="883" customFormat="1" ht="46.5" customHeight="1">
      <c r="A173" s="988" t="s">
        <v>279</v>
      </c>
      <c r="B173" s="900" t="s">
        <v>685</v>
      </c>
      <c r="C173" s="495"/>
      <c r="D173" s="894"/>
      <c r="E173" s="894"/>
      <c r="F173" s="894"/>
      <c r="G173" s="894"/>
      <c r="H173" s="894"/>
      <c r="I173" s="896"/>
      <c r="J173" s="964">
        <f>SUM(J174:J182)</f>
        <v>96807</v>
      </c>
      <c r="K173" s="964">
        <f t="shared" ref="K173" si="25">SUM(K174:K182)</f>
        <v>79685.399999999994</v>
      </c>
      <c r="L173" s="964">
        <f>SUM(L174:L182)</f>
        <v>75688</v>
      </c>
      <c r="M173" s="964">
        <f t="shared" ref="M173:P173" si="26">SUM(M174:M182)</f>
        <v>75688</v>
      </c>
      <c r="N173" s="964">
        <f t="shared" si="26"/>
        <v>75688</v>
      </c>
      <c r="O173" s="964">
        <f t="shared" si="26"/>
        <v>847</v>
      </c>
      <c r="P173" s="964">
        <f t="shared" si="26"/>
        <v>847</v>
      </c>
      <c r="Q173" s="894"/>
      <c r="R173" s="1015">
        <f>O173-P173</f>
        <v>0</v>
      </c>
      <c r="S173" s="1016"/>
      <c r="T173" s="1017"/>
      <c r="U173" s="1017"/>
      <c r="V173" s="403"/>
      <c r="W173" s="403"/>
      <c r="X173" s="403"/>
      <c r="Y173" s="403"/>
      <c r="Z173" s="403"/>
      <c r="AA173" s="403"/>
    </row>
    <row r="174" spans="1:27" ht="87.75" customHeight="1">
      <c r="A174" s="929">
        <v>1</v>
      </c>
      <c r="B174" s="965" t="s">
        <v>2788</v>
      </c>
      <c r="C174" s="495" t="s">
        <v>89</v>
      </c>
      <c r="D174" s="920">
        <v>7860333</v>
      </c>
      <c r="E174" s="408" t="s">
        <v>2789</v>
      </c>
      <c r="F174" s="920" t="s">
        <v>2790</v>
      </c>
      <c r="G174" s="920" t="s">
        <v>1279</v>
      </c>
      <c r="H174" s="408" t="s">
        <v>673</v>
      </c>
      <c r="I174" s="986" t="s">
        <v>2791</v>
      </c>
      <c r="J174" s="1001">
        <v>10566</v>
      </c>
      <c r="K174" s="1001">
        <f>J174*0.9</f>
        <v>9509.4</v>
      </c>
      <c r="L174" s="916">
        <v>8800</v>
      </c>
      <c r="M174" s="950">
        <f>2400+2600+3726</f>
        <v>8726</v>
      </c>
      <c r="N174" s="916">
        <v>8726</v>
      </c>
      <c r="O174" s="1069"/>
      <c r="P174" s="950">
        <v>74</v>
      </c>
      <c r="Q174" s="910" t="s">
        <v>2538</v>
      </c>
      <c r="R174" s="909"/>
      <c r="S174" s="1192"/>
      <c r="T174" s="1018">
        <v>2400</v>
      </c>
      <c r="U174" s="1069"/>
      <c r="V174" s="1019">
        <v>2400</v>
      </c>
      <c r="W174" s="1019">
        <v>2600</v>
      </c>
      <c r="X174" s="495"/>
      <c r="Y174" s="950">
        <v>5000</v>
      </c>
      <c r="Z174" s="1020">
        <v>4509</v>
      </c>
      <c r="AA174" s="1068"/>
    </row>
    <row r="175" spans="1:27" ht="90" customHeight="1">
      <c r="A175" s="929">
        <v>2</v>
      </c>
      <c r="B175" s="965" t="s">
        <v>2792</v>
      </c>
      <c r="C175" s="495" t="s">
        <v>89</v>
      </c>
      <c r="D175" s="920">
        <v>7913476</v>
      </c>
      <c r="E175" s="408" t="s">
        <v>2789</v>
      </c>
      <c r="F175" s="920" t="s">
        <v>2790</v>
      </c>
      <c r="G175" s="920" t="s">
        <v>1279</v>
      </c>
      <c r="H175" s="408" t="s">
        <v>673</v>
      </c>
      <c r="I175" s="976" t="s">
        <v>2793</v>
      </c>
      <c r="J175" s="906">
        <v>5104</v>
      </c>
      <c r="K175" s="912">
        <f>J175*0.9</f>
        <v>4593.6000000000004</v>
      </c>
      <c r="L175" s="916">
        <v>4594</v>
      </c>
      <c r="M175" s="950">
        <f>3352+700+255</f>
        <v>4307</v>
      </c>
      <c r="N175" s="950">
        <v>4307</v>
      </c>
      <c r="O175" s="1069"/>
      <c r="P175" s="950">
        <f>L175-N175</f>
        <v>287</v>
      </c>
      <c r="Q175" s="910" t="s">
        <v>2538</v>
      </c>
      <c r="R175" s="909"/>
      <c r="S175" s="1192"/>
      <c r="T175" s="1018">
        <v>3352</v>
      </c>
      <c r="U175" s="1069"/>
      <c r="V175" s="1021">
        <v>3352</v>
      </c>
      <c r="W175" s="1021">
        <v>700</v>
      </c>
      <c r="X175" s="495"/>
      <c r="Y175" s="1022">
        <v>4052</v>
      </c>
      <c r="Z175" s="1023">
        <v>255</v>
      </c>
      <c r="AA175" s="1068"/>
    </row>
    <row r="176" spans="1:27" s="926" customFormat="1" ht="63" customHeight="1">
      <c r="A176" s="929">
        <v>3</v>
      </c>
      <c r="B176" s="965" t="s">
        <v>2794</v>
      </c>
      <c r="C176" s="495" t="s">
        <v>89</v>
      </c>
      <c r="D176" s="920">
        <v>7863558</v>
      </c>
      <c r="E176" s="408" t="s">
        <v>2789</v>
      </c>
      <c r="F176" s="920" t="s">
        <v>2790</v>
      </c>
      <c r="G176" s="920" t="s">
        <v>1353</v>
      </c>
      <c r="H176" s="408" t="s">
        <v>673</v>
      </c>
      <c r="I176" s="923" t="s">
        <v>2795</v>
      </c>
      <c r="J176" s="966">
        <v>25188</v>
      </c>
      <c r="K176" s="966">
        <f>J176*0.9</f>
        <v>22669.200000000001</v>
      </c>
      <c r="L176" s="916">
        <v>21291</v>
      </c>
      <c r="M176" s="950">
        <f>4909+7000+9967</f>
        <v>21876</v>
      </c>
      <c r="N176" s="950">
        <v>21876</v>
      </c>
      <c r="O176" s="916">
        <v>585</v>
      </c>
      <c r="P176" s="950"/>
      <c r="Q176" s="910" t="s">
        <v>1228</v>
      </c>
      <c r="R176" s="909"/>
      <c r="S176" s="1192"/>
      <c r="T176" s="1018">
        <v>4909</v>
      </c>
      <c r="U176" s="1069"/>
      <c r="V176" s="1021">
        <v>4909</v>
      </c>
      <c r="W176" s="1021">
        <v>7000</v>
      </c>
      <c r="X176" s="495"/>
      <c r="Y176" s="1024">
        <v>11909</v>
      </c>
      <c r="Z176" s="1025">
        <v>10760</v>
      </c>
      <c r="AA176" s="1026"/>
    </row>
    <row r="177" spans="1:27" ht="63.75" customHeight="1">
      <c r="A177" s="929">
        <v>4</v>
      </c>
      <c r="B177" s="965" t="s">
        <v>2796</v>
      </c>
      <c r="C177" s="495" t="s">
        <v>89</v>
      </c>
      <c r="D177" s="920">
        <v>7917138</v>
      </c>
      <c r="E177" s="408" t="s">
        <v>2789</v>
      </c>
      <c r="F177" s="920" t="s">
        <v>2790</v>
      </c>
      <c r="G177" s="920" t="s">
        <v>1353</v>
      </c>
      <c r="H177" s="408" t="s">
        <v>673</v>
      </c>
      <c r="I177" s="976" t="s">
        <v>2797</v>
      </c>
      <c r="J177" s="906">
        <v>6870</v>
      </c>
      <c r="K177" s="912">
        <f>J177*0.9</f>
        <v>6183</v>
      </c>
      <c r="L177" s="916">
        <v>5861</v>
      </c>
      <c r="M177" s="950">
        <f>2000+2000+1805</f>
        <v>5805</v>
      </c>
      <c r="N177" s="950">
        <v>5805</v>
      </c>
      <c r="O177" s="1069"/>
      <c r="P177" s="950">
        <v>56</v>
      </c>
      <c r="Q177" s="910" t="s">
        <v>2538</v>
      </c>
      <c r="R177" s="909"/>
      <c r="S177" s="1192"/>
      <c r="T177" s="1018">
        <v>2000</v>
      </c>
      <c r="U177" s="1069"/>
      <c r="V177" s="1021">
        <v>2000</v>
      </c>
      <c r="W177" s="1021">
        <v>2000</v>
      </c>
      <c r="X177" s="495"/>
      <c r="Y177" s="950">
        <v>4000</v>
      </c>
      <c r="Z177" s="1027">
        <v>2183</v>
      </c>
      <c r="AA177" s="1068"/>
    </row>
    <row r="178" spans="1:27" ht="37.5">
      <c r="A178" s="929">
        <v>5</v>
      </c>
      <c r="B178" s="965" t="s">
        <v>2798</v>
      </c>
      <c r="C178" s="495" t="s">
        <v>89</v>
      </c>
      <c r="D178" s="920">
        <v>7852048</v>
      </c>
      <c r="E178" s="408" t="s">
        <v>2789</v>
      </c>
      <c r="F178" s="920" t="s">
        <v>2790</v>
      </c>
      <c r="G178" s="920" t="s">
        <v>1240</v>
      </c>
      <c r="H178" s="408" t="s">
        <v>673</v>
      </c>
      <c r="I178" s="986" t="s">
        <v>2799</v>
      </c>
      <c r="J178" s="1001">
        <v>10830</v>
      </c>
      <c r="K178" s="1028">
        <f>J178*0.7</f>
        <v>7580.9999999999991</v>
      </c>
      <c r="L178" s="916">
        <v>7229</v>
      </c>
      <c r="M178" s="950">
        <f>2600+2380+1914</f>
        <v>6894</v>
      </c>
      <c r="N178" s="950">
        <v>6894</v>
      </c>
      <c r="O178" s="1069"/>
      <c r="P178" s="950">
        <v>335</v>
      </c>
      <c r="Q178" s="910" t="s">
        <v>2538</v>
      </c>
      <c r="R178" s="909"/>
      <c r="S178" s="1192"/>
      <c r="T178" s="1018">
        <v>2600</v>
      </c>
      <c r="U178" s="1069"/>
      <c r="V178" s="1021">
        <v>2600</v>
      </c>
      <c r="W178" s="1021">
        <v>2380</v>
      </c>
      <c r="X178" s="495"/>
      <c r="Y178" s="1029">
        <v>4980</v>
      </c>
      <c r="Z178" s="1030">
        <v>2601</v>
      </c>
      <c r="AA178" s="1068"/>
    </row>
    <row r="179" spans="1:27" s="926" customFormat="1" ht="72.75" customHeight="1">
      <c r="A179" s="929">
        <v>6</v>
      </c>
      <c r="B179" s="965" t="s">
        <v>2800</v>
      </c>
      <c r="C179" s="495" t="s">
        <v>89</v>
      </c>
      <c r="D179" s="920">
        <v>7883294</v>
      </c>
      <c r="E179" s="408" t="s">
        <v>2789</v>
      </c>
      <c r="F179" s="920" t="s">
        <v>2790</v>
      </c>
      <c r="G179" s="1031"/>
      <c r="H179" s="408" t="s">
        <v>673</v>
      </c>
      <c r="I179" s="923" t="s">
        <v>2801</v>
      </c>
      <c r="J179" s="966">
        <v>5110</v>
      </c>
      <c r="K179" s="966">
        <f>J179*0.8</f>
        <v>4088</v>
      </c>
      <c r="L179" s="916">
        <v>4000</v>
      </c>
      <c r="M179" s="950">
        <f>750+2000+1236</f>
        <v>3986</v>
      </c>
      <c r="N179" s="950">
        <v>3986</v>
      </c>
      <c r="O179" s="1069"/>
      <c r="P179" s="950">
        <v>14</v>
      </c>
      <c r="Q179" s="910" t="s">
        <v>2538</v>
      </c>
      <c r="R179" s="909"/>
      <c r="S179" s="1192"/>
      <c r="T179" s="1032">
        <v>750</v>
      </c>
      <c r="U179" s="1069"/>
      <c r="V179" s="1033">
        <v>750</v>
      </c>
      <c r="W179" s="1033">
        <v>2000</v>
      </c>
      <c r="X179" s="1026"/>
      <c r="Y179" s="1034">
        <v>2750</v>
      </c>
      <c r="Z179" s="1035">
        <v>1338</v>
      </c>
      <c r="AA179" s="1026"/>
    </row>
    <row r="180" spans="1:27" s="926" customFormat="1" ht="59.25" customHeight="1">
      <c r="A180" s="929">
        <v>7</v>
      </c>
      <c r="B180" s="1036" t="s">
        <v>2802</v>
      </c>
      <c r="C180" s="495" t="s">
        <v>89</v>
      </c>
      <c r="D180" s="408">
        <v>7912257</v>
      </c>
      <c r="E180" s="408" t="s">
        <v>2789</v>
      </c>
      <c r="F180" s="920" t="s">
        <v>2803</v>
      </c>
      <c r="G180" s="920" t="s">
        <v>1341</v>
      </c>
      <c r="H180" s="904" t="s">
        <v>673</v>
      </c>
      <c r="I180" s="923" t="s">
        <v>2804</v>
      </c>
      <c r="J180" s="491">
        <v>14000</v>
      </c>
      <c r="K180" s="966">
        <f>J180*0.9</f>
        <v>12600</v>
      </c>
      <c r="L180" s="916">
        <v>12000</v>
      </c>
      <c r="M180" s="950">
        <f>7648+2000+2614</f>
        <v>12262</v>
      </c>
      <c r="N180" s="950">
        <v>12262</v>
      </c>
      <c r="O180" s="950">
        <v>262</v>
      </c>
      <c r="P180" s="950"/>
      <c r="Q180" s="910" t="s">
        <v>1228</v>
      </c>
      <c r="R180" s="909"/>
      <c r="S180" s="1192"/>
      <c r="T180" s="1037">
        <v>7648</v>
      </c>
      <c r="U180" s="1069"/>
      <c r="V180" s="1033">
        <v>7648</v>
      </c>
      <c r="W180" s="1033">
        <v>2000</v>
      </c>
      <c r="X180" s="1026"/>
      <c r="Y180" s="1026"/>
      <c r="Z180" s="417">
        <v>2952</v>
      </c>
      <c r="AA180" s="1026"/>
    </row>
    <row r="181" spans="1:27" s="908" customFormat="1" ht="92.25" customHeight="1">
      <c r="A181" s="929">
        <v>8</v>
      </c>
      <c r="B181" s="1038" t="s">
        <v>2805</v>
      </c>
      <c r="C181" s="495" t="s">
        <v>89</v>
      </c>
      <c r="D181" s="920">
        <v>7913473</v>
      </c>
      <c r="E181" s="408" t="s">
        <v>2789</v>
      </c>
      <c r="F181" s="920" t="s">
        <v>2806</v>
      </c>
      <c r="G181" s="904" t="s">
        <v>1353</v>
      </c>
      <c r="H181" s="920" t="s">
        <v>673</v>
      </c>
      <c r="I181" s="923" t="s">
        <v>2807</v>
      </c>
      <c r="J181" s="966">
        <v>14700</v>
      </c>
      <c r="K181" s="966">
        <v>8910</v>
      </c>
      <c r="L181" s="491">
        <v>8910</v>
      </c>
      <c r="M181" s="950">
        <f>7000+1910</f>
        <v>8910</v>
      </c>
      <c r="N181" s="950">
        <v>8910</v>
      </c>
      <c r="O181" s="916"/>
      <c r="P181" s="950"/>
      <c r="Q181" s="910"/>
      <c r="R181" s="909"/>
      <c r="S181" s="1192"/>
      <c r="T181" s="1039">
        <v>7000</v>
      </c>
      <c r="U181" s="1069"/>
      <c r="V181" s="1040">
        <v>7000</v>
      </c>
      <c r="W181" s="1040">
        <v>1910</v>
      </c>
      <c r="X181" s="495" t="s">
        <v>2243</v>
      </c>
      <c r="Y181" s="495"/>
      <c r="Z181" s="417"/>
      <c r="AA181" s="417"/>
    </row>
    <row r="182" spans="1:27" s="908" customFormat="1" ht="61.5" customHeight="1">
      <c r="A182" s="929">
        <v>9</v>
      </c>
      <c r="B182" s="417" t="s">
        <v>2808</v>
      </c>
      <c r="C182" s="495" t="s">
        <v>89</v>
      </c>
      <c r="D182" s="1041">
        <v>8071139</v>
      </c>
      <c r="E182" s="408" t="s">
        <v>2789</v>
      </c>
      <c r="F182" s="920" t="s">
        <v>1770</v>
      </c>
      <c r="G182" s="904" t="s">
        <v>1353</v>
      </c>
      <c r="H182" s="920" t="s">
        <v>1253</v>
      </c>
      <c r="I182" s="923" t="s">
        <v>2809</v>
      </c>
      <c r="J182" s="1042">
        <v>4439</v>
      </c>
      <c r="K182" s="966">
        <f>J182*0.8</f>
        <v>3551.2000000000003</v>
      </c>
      <c r="L182" s="916">
        <v>3003</v>
      </c>
      <c r="M182" s="950">
        <v>2922</v>
      </c>
      <c r="N182" s="950">
        <f>L182-P182</f>
        <v>2922</v>
      </c>
      <c r="O182" s="916"/>
      <c r="P182" s="950">
        <v>81</v>
      </c>
      <c r="Q182" s="495" t="s">
        <v>2538</v>
      </c>
      <c r="R182" s="909"/>
      <c r="S182" s="1192" t="s">
        <v>2567</v>
      </c>
      <c r="T182" s="1069"/>
      <c r="U182" s="1069"/>
      <c r="V182" s="417"/>
      <c r="W182" s="417"/>
      <c r="X182" s="417"/>
      <c r="Y182" s="1076"/>
      <c r="Z182" s="1043">
        <v>2000</v>
      </c>
      <c r="AA182" s="417"/>
    </row>
    <row r="183" spans="1:27" s="883" customFormat="1" ht="51.75" customHeight="1">
      <c r="A183" s="894" t="s">
        <v>167</v>
      </c>
      <c r="B183" s="895" t="s">
        <v>1772</v>
      </c>
      <c r="C183" s="495"/>
      <c r="D183" s="894"/>
      <c r="E183" s="894"/>
      <c r="F183" s="894"/>
      <c r="G183" s="894"/>
      <c r="H183" s="894"/>
      <c r="I183" s="896"/>
      <c r="J183" s="897">
        <f>J184</f>
        <v>269204</v>
      </c>
      <c r="K183" s="897">
        <f t="shared" ref="K183:P183" si="27">K184</f>
        <v>190365.7</v>
      </c>
      <c r="L183" s="897">
        <f t="shared" si="27"/>
        <v>184186</v>
      </c>
      <c r="M183" s="897">
        <f t="shared" si="27"/>
        <v>108291</v>
      </c>
      <c r="N183" s="897">
        <f t="shared" si="27"/>
        <v>184186</v>
      </c>
      <c r="O183" s="897">
        <f t="shared" si="27"/>
        <v>6884</v>
      </c>
      <c r="P183" s="897">
        <f t="shared" si="27"/>
        <v>6884</v>
      </c>
      <c r="Q183" s="882"/>
      <c r="R183" s="989">
        <f>N183-L183</f>
        <v>0</v>
      </c>
      <c r="S183" s="899">
        <f t="shared" ref="S183:AA183" si="28">SUM(S185:S230)</f>
        <v>0</v>
      </c>
      <c r="T183" s="897">
        <f t="shared" si="28"/>
        <v>40378</v>
      </c>
      <c r="U183" s="897">
        <f t="shared" si="28"/>
        <v>0</v>
      </c>
      <c r="V183" s="897">
        <f t="shared" si="28"/>
        <v>39365</v>
      </c>
      <c r="W183" s="897">
        <f t="shared" si="28"/>
        <v>35503</v>
      </c>
      <c r="X183" s="897">
        <f t="shared" si="28"/>
        <v>0</v>
      </c>
      <c r="Y183" s="897">
        <f t="shared" si="28"/>
        <v>17040</v>
      </c>
      <c r="Z183" s="897">
        <f t="shared" si="28"/>
        <v>32410</v>
      </c>
      <c r="AA183" s="897">
        <f t="shared" si="28"/>
        <v>0</v>
      </c>
    </row>
    <row r="184" spans="1:27" s="1045" customFormat="1" ht="45" customHeight="1">
      <c r="A184" s="894" t="s">
        <v>279</v>
      </c>
      <c r="B184" s="900" t="s">
        <v>685</v>
      </c>
      <c r="C184" s="495"/>
      <c r="D184" s="894"/>
      <c r="E184" s="894"/>
      <c r="F184" s="894"/>
      <c r="G184" s="894"/>
      <c r="H184" s="894"/>
      <c r="I184" s="896"/>
      <c r="J184" s="964">
        <f t="shared" ref="J184:K184" si="29">SUM(J185:J231)</f>
        <v>269204</v>
      </c>
      <c r="K184" s="964">
        <f t="shared" si="29"/>
        <v>190365.7</v>
      </c>
      <c r="L184" s="964">
        <f>SUM(L185:L231)</f>
        <v>184186</v>
      </c>
      <c r="M184" s="964">
        <f t="shared" ref="M184:P184" si="30">SUM(M185:M231)</f>
        <v>108291</v>
      </c>
      <c r="N184" s="964">
        <f t="shared" si="30"/>
        <v>184186</v>
      </c>
      <c r="O184" s="964">
        <f t="shared" si="30"/>
        <v>6884</v>
      </c>
      <c r="P184" s="964">
        <f t="shared" si="30"/>
        <v>6884</v>
      </c>
      <c r="Q184" s="882"/>
      <c r="R184" s="989">
        <f>O184-P184</f>
        <v>0</v>
      </c>
      <c r="S184" s="1044"/>
      <c r="T184" s="905"/>
      <c r="U184" s="905"/>
      <c r="V184" s="403"/>
      <c r="W184" s="403"/>
      <c r="X184" s="403"/>
      <c r="Y184" s="403"/>
      <c r="Z184" s="403"/>
      <c r="AA184" s="403"/>
    </row>
    <row r="185" spans="1:27" s="908" customFormat="1" ht="75" customHeight="1">
      <c r="A185" s="920">
        <v>1</v>
      </c>
      <c r="B185" s="965" t="s">
        <v>2810</v>
      </c>
      <c r="C185" s="495" t="s">
        <v>89</v>
      </c>
      <c r="D185" s="883">
        <v>7895214</v>
      </c>
      <c r="E185" s="408" t="s">
        <v>2811</v>
      </c>
      <c r="F185" s="920" t="s">
        <v>688</v>
      </c>
      <c r="G185" s="920" t="s">
        <v>1469</v>
      </c>
      <c r="H185" s="408" t="s">
        <v>673</v>
      </c>
      <c r="I185" s="495" t="s">
        <v>2812</v>
      </c>
      <c r="J185" s="906">
        <v>1200</v>
      </c>
      <c r="K185" s="906">
        <f>J185*0.7</f>
        <v>840</v>
      </c>
      <c r="L185" s="491">
        <v>840</v>
      </c>
      <c r="M185" s="950">
        <v>840</v>
      </c>
      <c r="N185" s="950">
        <v>840</v>
      </c>
      <c r="O185" s="491"/>
      <c r="P185" s="950"/>
      <c r="Q185" s="408"/>
      <c r="R185" s="943"/>
      <c r="S185" s="972"/>
      <c r="T185" s="950">
        <v>840</v>
      </c>
      <c r="U185" s="935"/>
      <c r="V185" s="417"/>
      <c r="W185" s="417"/>
      <c r="X185" s="417"/>
      <c r="Y185" s="417"/>
      <c r="Z185" s="417"/>
      <c r="AA185" s="417"/>
    </row>
    <row r="186" spans="1:27" s="908" customFormat="1" ht="75" customHeight="1">
      <c r="A186" s="920">
        <v>2</v>
      </c>
      <c r="B186" s="965" t="s">
        <v>2813</v>
      </c>
      <c r="C186" s="495" t="s">
        <v>89</v>
      </c>
      <c r="D186" s="920">
        <v>7969400</v>
      </c>
      <c r="E186" s="408" t="s">
        <v>1784</v>
      </c>
      <c r="F186" s="920" t="s">
        <v>688</v>
      </c>
      <c r="G186" s="920" t="s">
        <v>2814</v>
      </c>
      <c r="H186" s="408" t="s">
        <v>673</v>
      </c>
      <c r="I186" s="910" t="s">
        <v>2815</v>
      </c>
      <c r="J186" s="491">
        <v>578</v>
      </c>
      <c r="K186" s="906">
        <f>J186*0.3</f>
        <v>173.4</v>
      </c>
      <c r="L186" s="491">
        <v>173</v>
      </c>
      <c r="M186" s="950">
        <v>173</v>
      </c>
      <c r="N186" s="950">
        <v>173</v>
      </c>
      <c r="O186" s="491"/>
      <c r="P186" s="950"/>
      <c r="Q186" s="408"/>
      <c r="R186" s="943"/>
      <c r="S186" s="972"/>
      <c r="T186" s="950">
        <v>173</v>
      </c>
      <c r="U186" s="935"/>
      <c r="V186" s="417"/>
      <c r="W186" s="417"/>
      <c r="X186" s="417"/>
      <c r="Y186" s="417"/>
      <c r="Z186" s="417"/>
      <c r="AA186" s="417"/>
    </row>
    <row r="187" spans="1:27" s="1044" customFormat="1" ht="70.5" customHeight="1">
      <c r="A187" s="920">
        <v>3</v>
      </c>
      <c r="B187" s="965" t="s">
        <v>2816</v>
      </c>
      <c r="C187" s="495" t="s">
        <v>89</v>
      </c>
      <c r="D187" s="920">
        <v>7895215</v>
      </c>
      <c r="E187" s="408" t="s">
        <v>2811</v>
      </c>
      <c r="F187" s="920" t="s">
        <v>2817</v>
      </c>
      <c r="G187" s="920" t="s">
        <v>1242</v>
      </c>
      <c r="H187" s="408" t="s">
        <v>673</v>
      </c>
      <c r="I187" s="923" t="s">
        <v>2818</v>
      </c>
      <c r="J187" s="966">
        <v>5200</v>
      </c>
      <c r="K187" s="906">
        <f t="shared" ref="K187:K202" si="31">J187*0.7</f>
        <v>3639.9999999999995</v>
      </c>
      <c r="L187" s="491">
        <v>3640</v>
      </c>
      <c r="M187" s="950">
        <f>3000+416</f>
        <v>3416</v>
      </c>
      <c r="N187" s="950">
        <v>3416</v>
      </c>
      <c r="O187" s="491"/>
      <c r="P187" s="950">
        <v>224</v>
      </c>
      <c r="Q187" s="495" t="s">
        <v>2538</v>
      </c>
      <c r="R187" s="902"/>
      <c r="S187" s="972"/>
      <c r="T187" s="950">
        <v>3000</v>
      </c>
      <c r="U187" s="935"/>
      <c r="V187" s="950">
        <v>3000</v>
      </c>
      <c r="W187" s="950">
        <v>416</v>
      </c>
      <c r="X187" s="495" t="s">
        <v>2243</v>
      </c>
      <c r="Y187" s="495"/>
      <c r="Z187" s="905"/>
      <c r="AA187" s="905"/>
    </row>
    <row r="188" spans="1:27" s="908" customFormat="1" ht="70.5" customHeight="1">
      <c r="A188" s="920">
        <v>4</v>
      </c>
      <c r="B188" s="965" t="s">
        <v>2819</v>
      </c>
      <c r="C188" s="495" t="s">
        <v>89</v>
      </c>
      <c r="D188" s="920">
        <v>7910033</v>
      </c>
      <c r="E188" s="408" t="s">
        <v>2811</v>
      </c>
      <c r="F188" s="920" t="s">
        <v>2817</v>
      </c>
      <c r="G188" s="920" t="s">
        <v>1469</v>
      </c>
      <c r="H188" s="408" t="s">
        <v>673</v>
      </c>
      <c r="I188" s="923" t="s">
        <v>2820</v>
      </c>
      <c r="J188" s="966">
        <v>4900</v>
      </c>
      <c r="K188" s="906">
        <f t="shared" si="31"/>
        <v>3430</v>
      </c>
      <c r="L188" s="491">
        <v>3430</v>
      </c>
      <c r="M188" s="950">
        <f>2500+754</f>
        <v>3254</v>
      </c>
      <c r="N188" s="950">
        <v>3254</v>
      </c>
      <c r="O188" s="491"/>
      <c r="P188" s="950">
        <v>176</v>
      </c>
      <c r="Q188" s="495" t="s">
        <v>2538</v>
      </c>
      <c r="R188" s="902"/>
      <c r="S188" s="972"/>
      <c r="T188" s="950">
        <v>2500</v>
      </c>
      <c r="U188" s="935"/>
      <c r="V188" s="950">
        <v>2500</v>
      </c>
      <c r="W188" s="950">
        <v>754</v>
      </c>
      <c r="X188" s="495" t="s">
        <v>2243</v>
      </c>
      <c r="Y188" s="495"/>
      <c r="Z188" s="417"/>
      <c r="AA188" s="417"/>
    </row>
    <row r="189" spans="1:27" s="908" customFormat="1" ht="69" customHeight="1">
      <c r="A189" s="920">
        <v>5</v>
      </c>
      <c r="B189" s="965" t="s">
        <v>2821</v>
      </c>
      <c r="C189" s="495" t="s">
        <v>89</v>
      </c>
      <c r="D189" s="920">
        <v>7970684</v>
      </c>
      <c r="E189" s="920" t="s">
        <v>2822</v>
      </c>
      <c r="F189" s="920" t="s">
        <v>2817</v>
      </c>
      <c r="G189" s="920" t="s">
        <v>1469</v>
      </c>
      <c r="H189" s="408" t="s">
        <v>673</v>
      </c>
      <c r="I189" s="910" t="s">
        <v>2823</v>
      </c>
      <c r="J189" s="966">
        <v>2984</v>
      </c>
      <c r="K189" s="906">
        <f t="shared" si="31"/>
        <v>2088.7999999999997</v>
      </c>
      <c r="L189" s="491">
        <v>2089</v>
      </c>
      <c r="M189" s="950">
        <f>1200+731</f>
        <v>1931</v>
      </c>
      <c r="N189" s="950">
        <v>1931</v>
      </c>
      <c r="O189" s="491"/>
      <c r="P189" s="950">
        <v>158</v>
      </c>
      <c r="Q189" s="495" t="s">
        <v>2538</v>
      </c>
      <c r="R189" s="902"/>
      <c r="S189" s="972"/>
      <c r="T189" s="950">
        <v>1200</v>
      </c>
      <c r="U189" s="935"/>
      <c r="V189" s="950">
        <v>1200</v>
      </c>
      <c r="W189" s="950">
        <v>731</v>
      </c>
      <c r="X189" s="495" t="s">
        <v>2243</v>
      </c>
      <c r="Y189" s="495"/>
      <c r="Z189" s="417"/>
      <c r="AA189" s="417"/>
    </row>
    <row r="190" spans="1:27" s="908" customFormat="1" ht="57.75" customHeight="1">
      <c r="A190" s="920">
        <v>6</v>
      </c>
      <c r="B190" s="965" t="s">
        <v>2824</v>
      </c>
      <c r="C190" s="495" t="s">
        <v>89</v>
      </c>
      <c r="D190" s="920">
        <v>7970684</v>
      </c>
      <c r="E190" s="920" t="s">
        <v>2822</v>
      </c>
      <c r="F190" s="920" t="s">
        <v>2817</v>
      </c>
      <c r="G190" s="920" t="s">
        <v>1242</v>
      </c>
      <c r="H190" s="408" t="s">
        <v>673</v>
      </c>
      <c r="I190" s="910" t="s">
        <v>2825</v>
      </c>
      <c r="J190" s="966">
        <v>3070</v>
      </c>
      <c r="K190" s="906">
        <f t="shared" si="31"/>
        <v>2149</v>
      </c>
      <c r="L190" s="491">
        <v>2149</v>
      </c>
      <c r="M190" s="950">
        <f>1200+781</f>
        <v>1981</v>
      </c>
      <c r="N190" s="950">
        <v>1981</v>
      </c>
      <c r="O190" s="491"/>
      <c r="P190" s="950">
        <v>168</v>
      </c>
      <c r="Q190" s="495" t="s">
        <v>2538</v>
      </c>
      <c r="R190" s="902"/>
      <c r="S190" s="972"/>
      <c r="T190" s="950">
        <v>1200</v>
      </c>
      <c r="U190" s="935"/>
      <c r="V190" s="950">
        <v>1200</v>
      </c>
      <c r="W190" s="950">
        <v>781</v>
      </c>
      <c r="X190" s="495" t="s">
        <v>2243</v>
      </c>
      <c r="Y190" s="495"/>
      <c r="Z190" s="417"/>
      <c r="AA190" s="417"/>
    </row>
    <row r="191" spans="1:27" s="926" customFormat="1" ht="83.25" customHeight="1">
      <c r="A191" s="920">
        <v>7</v>
      </c>
      <c r="B191" s="417" t="s">
        <v>2826</v>
      </c>
      <c r="C191" s="495" t="s">
        <v>89</v>
      </c>
      <c r="D191" s="904">
        <v>7773514</v>
      </c>
      <c r="E191" s="948" t="s">
        <v>2827</v>
      </c>
      <c r="F191" s="920" t="s">
        <v>2828</v>
      </c>
      <c r="G191" s="408" t="s">
        <v>2829</v>
      </c>
      <c r="H191" s="408" t="s">
        <v>1318</v>
      </c>
      <c r="I191" s="408" t="s">
        <v>2830</v>
      </c>
      <c r="J191" s="966">
        <v>8918</v>
      </c>
      <c r="K191" s="906">
        <f>J191*0.9</f>
        <v>8026.2</v>
      </c>
      <c r="L191" s="491">
        <v>8026</v>
      </c>
      <c r="M191" s="950">
        <f>5400+853</f>
        <v>6253</v>
      </c>
      <c r="N191" s="950">
        <f>6253</f>
        <v>6253</v>
      </c>
      <c r="O191" s="491"/>
      <c r="P191" s="950">
        <v>1773</v>
      </c>
      <c r="Q191" s="495" t="s">
        <v>2538</v>
      </c>
      <c r="R191" s="902"/>
      <c r="S191" s="972"/>
      <c r="T191" s="950">
        <v>5400</v>
      </c>
      <c r="U191" s="935"/>
      <c r="V191" s="950">
        <v>5400</v>
      </c>
      <c r="W191" s="950">
        <v>853</v>
      </c>
      <c r="X191" s="495" t="s">
        <v>2243</v>
      </c>
      <c r="Y191" s="495"/>
      <c r="Z191" s="1026"/>
      <c r="AA191" s="1026"/>
    </row>
    <row r="192" spans="1:27" s="908" customFormat="1" ht="65.25" customHeight="1">
      <c r="A192" s="920">
        <v>8</v>
      </c>
      <c r="B192" s="965" t="s">
        <v>2831</v>
      </c>
      <c r="C192" s="495" t="s">
        <v>89</v>
      </c>
      <c r="D192" s="920">
        <v>7910034</v>
      </c>
      <c r="E192" s="408" t="s">
        <v>2811</v>
      </c>
      <c r="F192" s="920" t="s">
        <v>2832</v>
      </c>
      <c r="G192" s="920" t="s">
        <v>1247</v>
      </c>
      <c r="H192" s="408" t="s">
        <v>673</v>
      </c>
      <c r="I192" s="923" t="s">
        <v>2833</v>
      </c>
      <c r="J192" s="966">
        <v>7137</v>
      </c>
      <c r="K192" s="906">
        <f>J192*0.9</f>
        <v>6423.3</v>
      </c>
      <c r="L192" s="491">
        <v>6423</v>
      </c>
      <c r="M192" s="950">
        <f>2400+3838</f>
        <v>6238</v>
      </c>
      <c r="N192" s="950">
        <v>6238</v>
      </c>
      <c r="O192" s="491"/>
      <c r="P192" s="950">
        <v>185</v>
      </c>
      <c r="Q192" s="495" t="s">
        <v>2538</v>
      </c>
      <c r="R192" s="902"/>
      <c r="S192" s="972"/>
      <c r="T192" s="950">
        <v>2400</v>
      </c>
      <c r="U192" s="935"/>
      <c r="V192" s="950">
        <v>2400</v>
      </c>
      <c r="W192" s="950">
        <v>3838</v>
      </c>
      <c r="X192" s="495" t="s">
        <v>2243</v>
      </c>
      <c r="Y192" s="495"/>
      <c r="Z192" s="417"/>
      <c r="AA192" s="417"/>
    </row>
    <row r="193" spans="1:27" s="908" customFormat="1" ht="69" customHeight="1">
      <c r="A193" s="920">
        <v>9</v>
      </c>
      <c r="B193" s="965" t="s">
        <v>2834</v>
      </c>
      <c r="C193" s="495" t="s">
        <v>89</v>
      </c>
      <c r="D193" s="920">
        <v>7895213</v>
      </c>
      <c r="E193" s="408" t="s">
        <v>2811</v>
      </c>
      <c r="F193" s="920" t="s">
        <v>2832</v>
      </c>
      <c r="G193" s="920" t="s">
        <v>1247</v>
      </c>
      <c r="H193" s="408" t="s">
        <v>673</v>
      </c>
      <c r="I193" s="923" t="s">
        <v>2835</v>
      </c>
      <c r="J193" s="966">
        <v>7067</v>
      </c>
      <c r="K193" s="906">
        <f>J193*0.9</f>
        <v>6360.3</v>
      </c>
      <c r="L193" s="491">
        <v>6360</v>
      </c>
      <c r="M193" s="950">
        <f>2300+3822</f>
        <v>6122</v>
      </c>
      <c r="N193" s="950">
        <v>6122</v>
      </c>
      <c r="O193" s="491"/>
      <c r="P193" s="950">
        <v>238</v>
      </c>
      <c r="Q193" s="495" t="s">
        <v>2538</v>
      </c>
      <c r="R193" s="902"/>
      <c r="S193" s="972"/>
      <c r="T193" s="950">
        <v>2300</v>
      </c>
      <c r="U193" s="935"/>
      <c r="V193" s="950">
        <v>2300</v>
      </c>
      <c r="W193" s="950">
        <v>3822</v>
      </c>
      <c r="X193" s="495" t="s">
        <v>2243</v>
      </c>
      <c r="Y193" s="495"/>
      <c r="Z193" s="417"/>
      <c r="AA193" s="417"/>
    </row>
    <row r="194" spans="1:27" s="908" customFormat="1" ht="83.25" customHeight="1">
      <c r="A194" s="920">
        <v>10</v>
      </c>
      <c r="B194" s="965" t="s">
        <v>2836</v>
      </c>
      <c r="C194" s="495" t="s">
        <v>89</v>
      </c>
      <c r="D194" s="920">
        <v>7962825</v>
      </c>
      <c r="E194" s="408" t="s">
        <v>2837</v>
      </c>
      <c r="F194" s="920" t="s">
        <v>2832</v>
      </c>
      <c r="G194" s="920" t="s">
        <v>1469</v>
      </c>
      <c r="H194" s="408" t="s">
        <v>673</v>
      </c>
      <c r="I194" s="923" t="s">
        <v>2838</v>
      </c>
      <c r="J194" s="966">
        <v>1014</v>
      </c>
      <c r="K194" s="906">
        <f>J194*0.7</f>
        <v>709.8</v>
      </c>
      <c r="L194" s="491">
        <v>710</v>
      </c>
      <c r="M194" s="950">
        <f>450+204</f>
        <v>654</v>
      </c>
      <c r="N194" s="950">
        <v>654</v>
      </c>
      <c r="O194" s="491"/>
      <c r="P194" s="950">
        <v>56</v>
      </c>
      <c r="Q194" s="495" t="s">
        <v>2538</v>
      </c>
      <c r="R194" s="902"/>
      <c r="S194" s="972"/>
      <c r="T194" s="950">
        <v>450</v>
      </c>
      <c r="U194" s="935"/>
      <c r="V194" s="950">
        <v>450</v>
      </c>
      <c r="W194" s="950">
        <v>204</v>
      </c>
      <c r="X194" s="495" t="s">
        <v>2243</v>
      </c>
      <c r="Y194" s="495"/>
      <c r="Z194" s="417"/>
      <c r="AA194" s="417"/>
    </row>
    <row r="195" spans="1:27" s="926" customFormat="1" ht="83.25" customHeight="1">
      <c r="A195" s="920">
        <v>11</v>
      </c>
      <c r="B195" s="965" t="s">
        <v>2839</v>
      </c>
      <c r="C195" s="495" t="s">
        <v>89</v>
      </c>
      <c r="D195" s="920">
        <v>7962826</v>
      </c>
      <c r="E195" s="408" t="s">
        <v>2837</v>
      </c>
      <c r="F195" s="920" t="s">
        <v>2832</v>
      </c>
      <c r="G195" s="920" t="s">
        <v>1469</v>
      </c>
      <c r="H195" s="408" t="s">
        <v>673</v>
      </c>
      <c r="I195" s="923" t="s">
        <v>2840</v>
      </c>
      <c r="J195" s="966">
        <v>1300</v>
      </c>
      <c r="K195" s="906">
        <f t="shared" si="31"/>
        <v>909.99999999999989</v>
      </c>
      <c r="L195" s="491">
        <v>910</v>
      </c>
      <c r="M195" s="950">
        <f>600+309</f>
        <v>909</v>
      </c>
      <c r="N195" s="950">
        <v>909</v>
      </c>
      <c r="O195" s="491"/>
      <c r="P195" s="950">
        <v>1</v>
      </c>
      <c r="Q195" s="495" t="s">
        <v>2538</v>
      </c>
      <c r="R195" s="902"/>
      <c r="S195" s="972"/>
      <c r="T195" s="950">
        <v>600</v>
      </c>
      <c r="U195" s="935"/>
      <c r="V195" s="950">
        <v>600</v>
      </c>
      <c r="W195" s="950">
        <v>309</v>
      </c>
      <c r="X195" s="495"/>
      <c r="Y195" s="495"/>
      <c r="Z195" s="1026"/>
      <c r="AA195" s="1026"/>
    </row>
    <row r="196" spans="1:27" s="908" customFormat="1" ht="75.75" customHeight="1">
      <c r="A196" s="920">
        <v>12</v>
      </c>
      <c r="B196" s="965" t="s">
        <v>2841</v>
      </c>
      <c r="C196" s="495" t="s">
        <v>89</v>
      </c>
      <c r="D196" s="920">
        <v>7895219</v>
      </c>
      <c r="E196" s="408" t="s">
        <v>2811</v>
      </c>
      <c r="F196" s="920" t="s">
        <v>2842</v>
      </c>
      <c r="G196" s="920" t="s">
        <v>1353</v>
      </c>
      <c r="H196" s="408" t="s">
        <v>673</v>
      </c>
      <c r="I196" s="923" t="s">
        <v>2843</v>
      </c>
      <c r="J196" s="966">
        <v>4500</v>
      </c>
      <c r="K196" s="906">
        <f>J196*0.9</f>
        <v>4050</v>
      </c>
      <c r="L196" s="491">
        <v>4050</v>
      </c>
      <c r="M196" s="950">
        <f>2000+1804</f>
        <v>3804</v>
      </c>
      <c r="N196" s="950">
        <v>3804</v>
      </c>
      <c r="O196" s="491"/>
      <c r="P196" s="950">
        <v>246</v>
      </c>
      <c r="Q196" s="495" t="s">
        <v>2538</v>
      </c>
      <c r="R196" s="902"/>
      <c r="S196" s="972"/>
      <c r="T196" s="950">
        <v>2000</v>
      </c>
      <c r="U196" s="935"/>
      <c r="V196" s="950">
        <v>2000</v>
      </c>
      <c r="W196" s="950">
        <v>1804</v>
      </c>
      <c r="X196" s="495" t="s">
        <v>2243</v>
      </c>
      <c r="Y196" s="495"/>
      <c r="Z196" s="417"/>
      <c r="AA196" s="417"/>
    </row>
    <row r="197" spans="1:27" s="908" customFormat="1" ht="65.25" customHeight="1">
      <c r="A197" s="920">
        <v>13</v>
      </c>
      <c r="B197" s="965" t="s">
        <v>2844</v>
      </c>
      <c r="C197" s="495" t="s">
        <v>89</v>
      </c>
      <c r="D197" s="920">
        <v>7929334</v>
      </c>
      <c r="E197" s="911" t="s">
        <v>687</v>
      </c>
      <c r="F197" s="920" t="s">
        <v>2845</v>
      </c>
      <c r="G197" s="920" t="s">
        <v>1242</v>
      </c>
      <c r="H197" s="408" t="s">
        <v>673</v>
      </c>
      <c r="I197" s="910" t="s">
        <v>2846</v>
      </c>
      <c r="J197" s="966">
        <v>9000</v>
      </c>
      <c r="K197" s="906">
        <f t="shared" si="31"/>
        <v>6300</v>
      </c>
      <c r="L197" s="491">
        <v>6300</v>
      </c>
      <c r="M197" s="950">
        <f>5026+1160</f>
        <v>6186</v>
      </c>
      <c r="N197" s="950">
        <v>6186</v>
      </c>
      <c r="O197" s="491"/>
      <c r="P197" s="950">
        <v>114</v>
      </c>
      <c r="Q197" s="495" t="s">
        <v>2538</v>
      </c>
      <c r="R197" s="902"/>
      <c r="S197" s="972"/>
      <c r="T197" s="950">
        <v>5026</v>
      </c>
      <c r="U197" s="935"/>
      <c r="V197" s="950">
        <v>5026</v>
      </c>
      <c r="W197" s="950">
        <v>1160</v>
      </c>
      <c r="X197" s="495" t="s">
        <v>2243</v>
      </c>
      <c r="Y197" s="495"/>
      <c r="Z197" s="417"/>
      <c r="AA197" s="417"/>
    </row>
    <row r="198" spans="1:27" s="908" customFormat="1" ht="90.75" customHeight="1">
      <c r="A198" s="920">
        <v>14</v>
      </c>
      <c r="B198" s="965" t="s">
        <v>2847</v>
      </c>
      <c r="C198" s="495" t="s">
        <v>89</v>
      </c>
      <c r="D198" s="920">
        <v>7929334</v>
      </c>
      <c r="E198" s="920" t="s">
        <v>2848</v>
      </c>
      <c r="F198" s="920" t="s">
        <v>2845</v>
      </c>
      <c r="G198" s="920" t="s">
        <v>1242</v>
      </c>
      <c r="H198" s="408" t="s">
        <v>673</v>
      </c>
      <c r="I198" s="910" t="s">
        <v>2849</v>
      </c>
      <c r="J198" s="966">
        <v>1697</v>
      </c>
      <c r="K198" s="906">
        <f t="shared" si="31"/>
        <v>1187.8999999999999</v>
      </c>
      <c r="L198" s="491">
        <v>1188</v>
      </c>
      <c r="M198" s="950">
        <f>705+465</f>
        <v>1170</v>
      </c>
      <c r="N198" s="950">
        <v>1170</v>
      </c>
      <c r="O198" s="491"/>
      <c r="P198" s="950">
        <v>18</v>
      </c>
      <c r="Q198" s="495" t="s">
        <v>2538</v>
      </c>
      <c r="R198" s="902"/>
      <c r="S198" s="972"/>
      <c r="T198" s="950">
        <v>705</v>
      </c>
      <c r="U198" s="935"/>
      <c r="V198" s="950">
        <v>705</v>
      </c>
      <c r="W198" s="950">
        <v>465</v>
      </c>
      <c r="X198" s="495" t="s">
        <v>2243</v>
      </c>
      <c r="Y198" s="495"/>
      <c r="Z198" s="417"/>
      <c r="AA198" s="417"/>
    </row>
    <row r="199" spans="1:27" s="908" customFormat="1" ht="62.25" customHeight="1">
      <c r="A199" s="920">
        <v>15</v>
      </c>
      <c r="B199" s="965" t="s">
        <v>2850</v>
      </c>
      <c r="C199" s="495" t="s">
        <v>89</v>
      </c>
      <c r="D199" s="408">
        <v>7929329</v>
      </c>
      <c r="E199" s="911" t="s">
        <v>687</v>
      </c>
      <c r="F199" s="920" t="s">
        <v>2845</v>
      </c>
      <c r="G199" s="911"/>
      <c r="H199" s="904" t="s">
        <v>673</v>
      </c>
      <c r="I199" s="910" t="s">
        <v>2851</v>
      </c>
      <c r="J199" s="906">
        <v>3000</v>
      </c>
      <c r="K199" s="906">
        <f>J199*0.8</f>
        <v>2400</v>
      </c>
      <c r="L199" s="491">
        <v>2400</v>
      </c>
      <c r="M199" s="950">
        <f>2100+242</f>
        <v>2342</v>
      </c>
      <c r="N199" s="950">
        <v>2342</v>
      </c>
      <c r="O199" s="491"/>
      <c r="P199" s="950">
        <v>58</v>
      </c>
      <c r="Q199" s="495" t="s">
        <v>2538</v>
      </c>
      <c r="R199" s="902"/>
      <c r="S199" s="972"/>
      <c r="T199" s="950">
        <v>2100</v>
      </c>
      <c r="U199" s="935"/>
      <c r="V199" s="950">
        <v>2100</v>
      </c>
      <c r="W199" s="950">
        <v>242</v>
      </c>
      <c r="X199" s="495" t="s">
        <v>2243</v>
      </c>
      <c r="Y199" s="495"/>
      <c r="Z199" s="417"/>
      <c r="AA199" s="417"/>
    </row>
    <row r="200" spans="1:27" s="908" customFormat="1" ht="67.5" customHeight="1">
      <c r="A200" s="920">
        <v>16</v>
      </c>
      <c r="B200" s="965" t="s">
        <v>2852</v>
      </c>
      <c r="C200" s="495" t="s">
        <v>89</v>
      </c>
      <c r="D200" s="920">
        <v>7929331</v>
      </c>
      <c r="E200" s="911" t="s">
        <v>687</v>
      </c>
      <c r="F200" s="920" t="s">
        <v>2853</v>
      </c>
      <c r="G200" s="920" t="s">
        <v>1469</v>
      </c>
      <c r="H200" s="408" t="s">
        <v>673</v>
      </c>
      <c r="I200" s="910" t="s">
        <v>2854</v>
      </c>
      <c r="J200" s="966">
        <v>5922</v>
      </c>
      <c r="K200" s="906">
        <f t="shared" si="31"/>
        <v>4145.3999999999996</v>
      </c>
      <c r="L200" s="491">
        <v>4145</v>
      </c>
      <c r="M200" s="950">
        <f>3200+356</f>
        <v>3556</v>
      </c>
      <c r="N200" s="950">
        <v>3556</v>
      </c>
      <c r="O200" s="491"/>
      <c r="P200" s="950">
        <v>589</v>
      </c>
      <c r="Q200" s="495" t="s">
        <v>2538</v>
      </c>
      <c r="R200" s="902"/>
      <c r="S200" s="972"/>
      <c r="T200" s="950">
        <v>3200</v>
      </c>
      <c r="U200" s="935"/>
      <c r="V200" s="950">
        <v>3200</v>
      </c>
      <c r="W200" s="950">
        <v>356</v>
      </c>
      <c r="X200" s="495" t="s">
        <v>2243</v>
      </c>
      <c r="Y200" s="495"/>
      <c r="Z200" s="417"/>
      <c r="AA200" s="417"/>
    </row>
    <row r="201" spans="1:27" s="926" customFormat="1" ht="73.5" customHeight="1">
      <c r="A201" s="920">
        <v>17</v>
      </c>
      <c r="B201" s="1038" t="s">
        <v>2855</v>
      </c>
      <c r="C201" s="495" t="s">
        <v>89</v>
      </c>
      <c r="D201" s="920">
        <v>7929333</v>
      </c>
      <c r="E201" s="408" t="s">
        <v>2811</v>
      </c>
      <c r="F201" s="920" t="s">
        <v>1812</v>
      </c>
      <c r="G201" s="904" t="s">
        <v>1353</v>
      </c>
      <c r="H201" s="920" t="s">
        <v>673</v>
      </c>
      <c r="I201" s="923" t="s">
        <v>2856</v>
      </c>
      <c r="J201" s="966">
        <v>5775</v>
      </c>
      <c r="K201" s="906">
        <f>J201*0.9</f>
        <v>5197.5</v>
      </c>
      <c r="L201" s="491">
        <v>5198</v>
      </c>
      <c r="M201" s="950">
        <v>4434</v>
      </c>
      <c r="N201" s="950">
        <v>4434</v>
      </c>
      <c r="O201" s="491"/>
      <c r="P201" s="950">
        <v>764</v>
      </c>
      <c r="Q201" s="495" t="s">
        <v>2538</v>
      </c>
      <c r="R201" s="902"/>
      <c r="S201" s="972"/>
      <c r="T201" s="950">
        <v>4434</v>
      </c>
      <c r="U201" s="935"/>
      <c r="V201" s="950">
        <v>4434</v>
      </c>
      <c r="W201" s="950">
        <v>0</v>
      </c>
      <c r="X201" s="495" t="s">
        <v>2243</v>
      </c>
      <c r="Y201" s="495"/>
      <c r="Z201" s="1026"/>
      <c r="AA201" s="1026"/>
    </row>
    <row r="202" spans="1:27" s="926" customFormat="1" ht="85.5" customHeight="1">
      <c r="A202" s="920">
        <v>18</v>
      </c>
      <c r="B202" s="1038" t="s">
        <v>2857</v>
      </c>
      <c r="C202" s="495" t="s">
        <v>89</v>
      </c>
      <c r="D202" s="920">
        <v>7962809</v>
      </c>
      <c r="E202" s="408" t="s">
        <v>2858</v>
      </c>
      <c r="F202" s="920" t="s">
        <v>1812</v>
      </c>
      <c r="G202" s="920" t="s">
        <v>1469</v>
      </c>
      <c r="H202" s="920" t="s">
        <v>673</v>
      </c>
      <c r="I202" s="910" t="s">
        <v>2859</v>
      </c>
      <c r="J202" s="966">
        <v>2417</v>
      </c>
      <c r="K202" s="906">
        <f t="shared" si="31"/>
        <v>1691.8999999999999</v>
      </c>
      <c r="L202" s="491">
        <v>1692</v>
      </c>
      <c r="M202" s="950">
        <f>1000+572</f>
        <v>1572</v>
      </c>
      <c r="N202" s="950">
        <v>1572</v>
      </c>
      <c r="O202" s="491"/>
      <c r="P202" s="950">
        <v>120</v>
      </c>
      <c r="Q202" s="495" t="s">
        <v>2538</v>
      </c>
      <c r="R202" s="902"/>
      <c r="S202" s="972"/>
      <c r="T202" s="950">
        <v>1000</v>
      </c>
      <c r="U202" s="935"/>
      <c r="V202" s="950">
        <v>1000</v>
      </c>
      <c r="W202" s="950">
        <v>572</v>
      </c>
      <c r="X202" s="495" t="s">
        <v>2243</v>
      </c>
      <c r="Y202" s="495"/>
      <c r="Z202" s="1026"/>
      <c r="AA202" s="1026"/>
    </row>
    <row r="203" spans="1:27" s="977" customFormat="1" ht="81" customHeight="1">
      <c r="A203" s="920">
        <v>19</v>
      </c>
      <c r="B203" s="965" t="s">
        <v>2860</v>
      </c>
      <c r="C203" s="495" t="s">
        <v>89</v>
      </c>
      <c r="D203" s="920">
        <v>7910038</v>
      </c>
      <c r="E203" s="408" t="s">
        <v>2811</v>
      </c>
      <c r="F203" s="920" t="s">
        <v>1812</v>
      </c>
      <c r="G203" s="408" t="s">
        <v>2861</v>
      </c>
      <c r="H203" s="408" t="s">
        <v>673</v>
      </c>
      <c r="I203" s="923" t="s">
        <v>2862</v>
      </c>
      <c r="J203" s="966">
        <v>2669</v>
      </c>
      <c r="K203" s="906">
        <f>J203*0.8</f>
        <v>2135.2000000000003</v>
      </c>
      <c r="L203" s="491">
        <v>2135</v>
      </c>
      <c r="M203" s="950">
        <f>1850+184</f>
        <v>2034</v>
      </c>
      <c r="N203" s="950">
        <v>2034</v>
      </c>
      <c r="O203" s="491"/>
      <c r="P203" s="950">
        <v>101</v>
      </c>
      <c r="Q203" s="495" t="s">
        <v>2538</v>
      </c>
      <c r="R203" s="902"/>
      <c r="S203" s="972"/>
      <c r="T203" s="950">
        <v>1850</v>
      </c>
      <c r="U203" s="935"/>
      <c r="V203" s="950">
        <v>1850</v>
      </c>
      <c r="W203" s="950">
        <v>184</v>
      </c>
      <c r="X203" s="495" t="s">
        <v>2243</v>
      </c>
      <c r="Y203" s="495"/>
      <c r="Z203" s="1046"/>
      <c r="AA203" s="1046"/>
    </row>
    <row r="204" spans="1:27" s="883" customFormat="1" ht="54" customHeight="1">
      <c r="A204" s="920">
        <v>20</v>
      </c>
      <c r="B204" s="937" t="s">
        <v>2863</v>
      </c>
      <c r="C204" s="495" t="s">
        <v>89</v>
      </c>
      <c r="D204" s="1047">
        <v>8077285</v>
      </c>
      <c r="E204" s="408" t="s">
        <v>2864</v>
      </c>
      <c r="F204" s="495" t="s">
        <v>1796</v>
      </c>
      <c r="G204" s="920" t="s">
        <v>2865</v>
      </c>
      <c r="H204" s="495" t="s">
        <v>1480</v>
      </c>
      <c r="I204" s="904" t="s">
        <v>2866</v>
      </c>
      <c r="J204" s="906">
        <v>4500</v>
      </c>
      <c r="K204" s="912">
        <f>J204/2</f>
        <v>2250</v>
      </c>
      <c r="L204" s="912">
        <v>2250</v>
      </c>
      <c r="M204" s="950">
        <v>1250</v>
      </c>
      <c r="N204" s="950">
        <v>2250</v>
      </c>
      <c r="O204" s="491"/>
      <c r="P204" s="950"/>
      <c r="Q204" s="412"/>
      <c r="R204" s="1048"/>
      <c r="S204" s="972"/>
      <c r="T204" s="935"/>
      <c r="U204" s="935"/>
      <c r="V204" s="403"/>
      <c r="W204" s="403"/>
      <c r="X204" s="403"/>
      <c r="Y204" s="950"/>
      <c r="Z204" s="1049">
        <v>1250</v>
      </c>
      <c r="AA204" s="403"/>
    </row>
    <row r="205" spans="1:27" s="883" customFormat="1" ht="71.25" customHeight="1">
      <c r="A205" s="920">
        <v>21</v>
      </c>
      <c r="B205" s="417" t="s">
        <v>2867</v>
      </c>
      <c r="C205" s="495" t="s">
        <v>89</v>
      </c>
      <c r="D205" s="904">
        <v>8012716</v>
      </c>
      <c r="E205" s="408" t="s">
        <v>2868</v>
      </c>
      <c r="F205" s="495" t="s">
        <v>2869</v>
      </c>
      <c r="G205" s="920" t="s">
        <v>1469</v>
      </c>
      <c r="H205" s="495" t="s">
        <v>1480</v>
      </c>
      <c r="I205" s="904" t="s">
        <v>2870</v>
      </c>
      <c r="J205" s="912">
        <v>4000</v>
      </c>
      <c r="K205" s="912">
        <f>J205/2</f>
        <v>2000</v>
      </c>
      <c r="L205" s="912">
        <v>2000</v>
      </c>
      <c r="M205" s="950">
        <f>1200+800</f>
        <v>2000</v>
      </c>
      <c r="N205" s="950">
        <v>2000</v>
      </c>
      <c r="O205" s="491"/>
      <c r="P205" s="950"/>
      <c r="Q205" s="412"/>
      <c r="R205" s="1048"/>
      <c r="S205" s="972"/>
      <c r="T205" s="935"/>
      <c r="U205" s="935"/>
      <c r="V205" s="950"/>
      <c r="W205" s="950">
        <v>1200</v>
      </c>
      <c r="X205" s="495"/>
      <c r="Y205" s="950">
        <v>1200</v>
      </c>
      <c r="Z205" s="1049">
        <v>800</v>
      </c>
      <c r="AA205" s="403"/>
    </row>
    <row r="206" spans="1:27" s="883" customFormat="1" ht="54" customHeight="1">
      <c r="A206" s="920">
        <v>22</v>
      </c>
      <c r="B206" s="417" t="s">
        <v>2871</v>
      </c>
      <c r="C206" s="495" t="s">
        <v>89</v>
      </c>
      <c r="D206" s="1050">
        <v>8077437</v>
      </c>
      <c r="E206" s="904" t="s">
        <v>2872</v>
      </c>
      <c r="F206" s="495" t="s">
        <v>2873</v>
      </c>
      <c r="G206" s="920" t="s">
        <v>2865</v>
      </c>
      <c r="H206" s="495" t="s">
        <v>1484</v>
      </c>
      <c r="I206" s="904" t="s">
        <v>2874</v>
      </c>
      <c r="J206" s="912">
        <v>2500</v>
      </c>
      <c r="K206" s="912">
        <f>J206*50/100</f>
        <v>1250</v>
      </c>
      <c r="L206" s="912">
        <v>1250</v>
      </c>
      <c r="M206" s="950">
        <v>1250</v>
      </c>
      <c r="N206" s="950">
        <v>1250</v>
      </c>
      <c r="O206" s="491"/>
      <c r="P206" s="950"/>
      <c r="Q206" s="412"/>
      <c r="R206" s="1048"/>
      <c r="S206" s="972"/>
      <c r="T206" s="935"/>
      <c r="U206" s="935"/>
      <c r="V206" s="403"/>
      <c r="W206" s="403"/>
      <c r="X206" s="403"/>
      <c r="Y206" s="950"/>
      <c r="Z206" s="1049">
        <v>1250</v>
      </c>
      <c r="AA206" s="403"/>
    </row>
    <row r="207" spans="1:27" s="883" customFormat="1" ht="54" customHeight="1">
      <c r="A207" s="920">
        <v>23</v>
      </c>
      <c r="B207" s="417" t="s">
        <v>2875</v>
      </c>
      <c r="C207" s="495" t="s">
        <v>89</v>
      </c>
      <c r="D207" s="904">
        <v>8012720</v>
      </c>
      <c r="E207" s="904" t="s">
        <v>2872</v>
      </c>
      <c r="F207" s="495" t="s">
        <v>1819</v>
      </c>
      <c r="G207" s="495" t="s">
        <v>1341</v>
      </c>
      <c r="H207" s="495" t="s">
        <v>1480</v>
      </c>
      <c r="I207" s="904" t="s">
        <v>2876</v>
      </c>
      <c r="J207" s="912">
        <v>26000</v>
      </c>
      <c r="K207" s="912">
        <f>J207*80/100</f>
        <v>20800</v>
      </c>
      <c r="L207" s="912">
        <v>20800</v>
      </c>
      <c r="M207" s="950">
        <f>4000+16800</f>
        <v>20800</v>
      </c>
      <c r="N207" s="950">
        <v>20800</v>
      </c>
      <c r="O207" s="491"/>
      <c r="P207" s="950"/>
      <c r="Q207" s="412"/>
      <c r="R207" s="1048"/>
      <c r="S207" s="972"/>
      <c r="T207" s="935"/>
      <c r="U207" s="935"/>
      <c r="V207" s="950"/>
      <c r="W207" s="950">
        <v>4000</v>
      </c>
      <c r="X207" s="495"/>
      <c r="Y207" s="950">
        <v>4000</v>
      </c>
      <c r="Z207" s="1049">
        <v>16800</v>
      </c>
      <c r="AA207" s="403"/>
    </row>
    <row r="208" spans="1:27" s="883" customFormat="1" ht="59.25" customHeight="1">
      <c r="A208" s="920">
        <v>24</v>
      </c>
      <c r="B208" s="417" t="s">
        <v>2877</v>
      </c>
      <c r="C208" s="495" t="s">
        <v>89</v>
      </c>
      <c r="D208" s="495"/>
      <c r="E208" s="904" t="s">
        <v>2872</v>
      </c>
      <c r="F208" s="495" t="s">
        <v>2878</v>
      </c>
      <c r="G208" s="495" t="s">
        <v>1341</v>
      </c>
      <c r="H208" s="495" t="s">
        <v>1253</v>
      </c>
      <c r="I208" s="904" t="s">
        <v>2879</v>
      </c>
      <c r="J208" s="912">
        <v>6768</v>
      </c>
      <c r="K208" s="912">
        <f>J208*80/100</f>
        <v>5414.4</v>
      </c>
      <c r="L208" s="912">
        <v>3790</v>
      </c>
      <c r="M208" s="950">
        <f>T208+U208+W208+Z208</f>
        <v>0</v>
      </c>
      <c r="N208" s="950">
        <v>5414</v>
      </c>
      <c r="O208" s="491">
        <f t="shared" ref="O204:O209" si="32">N208-L208</f>
        <v>1624</v>
      </c>
      <c r="P208" s="950"/>
      <c r="Q208" s="942" t="s">
        <v>2566</v>
      </c>
      <c r="R208" s="956"/>
      <c r="S208" s="972" t="s">
        <v>2567</v>
      </c>
      <c r="T208" s="935"/>
      <c r="U208" s="935"/>
      <c r="V208" s="403"/>
      <c r="W208" s="403"/>
      <c r="X208" s="403"/>
      <c r="Y208" s="403"/>
      <c r="Z208" s="403"/>
      <c r="AA208" s="403"/>
    </row>
    <row r="209" spans="1:27" s="883" customFormat="1" ht="54" customHeight="1">
      <c r="A209" s="920">
        <v>25</v>
      </c>
      <c r="B209" s="417" t="s">
        <v>2880</v>
      </c>
      <c r="C209" s="495" t="s">
        <v>89</v>
      </c>
      <c r="D209" s="904">
        <v>8012718</v>
      </c>
      <c r="E209" s="904" t="s">
        <v>2872</v>
      </c>
      <c r="F209" s="495" t="s">
        <v>1789</v>
      </c>
      <c r="G209" s="920" t="s">
        <v>2865</v>
      </c>
      <c r="H209" s="495" t="s">
        <v>1480</v>
      </c>
      <c r="I209" s="904" t="s">
        <v>2881</v>
      </c>
      <c r="J209" s="906">
        <v>10500</v>
      </c>
      <c r="K209" s="912">
        <f>J209/2</f>
        <v>5250</v>
      </c>
      <c r="L209" s="912">
        <v>5250</v>
      </c>
      <c r="M209" s="950">
        <f>4089+1161</f>
        <v>5250</v>
      </c>
      <c r="N209" s="950">
        <v>5250</v>
      </c>
      <c r="O209" s="491"/>
      <c r="P209" s="950"/>
      <c r="Q209" s="412"/>
      <c r="R209" s="1048"/>
      <c r="S209" s="972"/>
      <c r="T209" s="935"/>
      <c r="U209" s="935"/>
      <c r="V209" s="950"/>
      <c r="W209" s="950">
        <v>4089</v>
      </c>
      <c r="X209" s="495" t="s">
        <v>1228</v>
      </c>
      <c r="Y209" s="950">
        <v>4089</v>
      </c>
      <c r="Z209" s="1049">
        <v>1161</v>
      </c>
      <c r="AA209" s="403"/>
    </row>
    <row r="210" spans="1:27" s="883" customFormat="1" ht="54" customHeight="1">
      <c r="A210" s="920">
        <v>26</v>
      </c>
      <c r="B210" s="417" t="s">
        <v>2882</v>
      </c>
      <c r="C210" s="495" t="s">
        <v>89</v>
      </c>
      <c r="D210" s="904">
        <v>8012719</v>
      </c>
      <c r="E210" s="904" t="s">
        <v>2872</v>
      </c>
      <c r="F210" s="495" t="s">
        <v>1789</v>
      </c>
      <c r="G210" s="920" t="s">
        <v>2883</v>
      </c>
      <c r="H210" s="495" t="s">
        <v>1480</v>
      </c>
      <c r="I210" s="904" t="s">
        <v>2884</v>
      </c>
      <c r="J210" s="906">
        <v>4281</v>
      </c>
      <c r="K210" s="912">
        <f>J210*0.3</f>
        <v>1284.3</v>
      </c>
      <c r="L210" s="912">
        <v>1500</v>
      </c>
      <c r="M210" s="950">
        <v>1500</v>
      </c>
      <c r="N210" s="950">
        <v>1284</v>
      </c>
      <c r="O210" s="491"/>
      <c r="P210" s="950">
        <v>216</v>
      </c>
      <c r="Q210" s="910" t="s">
        <v>2764</v>
      </c>
      <c r="R210" s="909"/>
      <c r="S210" s="972"/>
      <c r="T210" s="935"/>
      <c r="U210" s="935"/>
      <c r="V210" s="950"/>
      <c r="W210" s="950">
        <v>1500</v>
      </c>
      <c r="X210" s="495"/>
      <c r="Y210" s="495"/>
      <c r="Z210" s="403"/>
      <c r="AA210" s="403"/>
    </row>
    <row r="211" spans="1:27" s="883" customFormat="1" ht="88.5" customHeight="1">
      <c r="A211" s="920">
        <v>27</v>
      </c>
      <c r="B211" s="937" t="s">
        <v>2885</v>
      </c>
      <c r="C211" s="495" t="s">
        <v>89</v>
      </c>
      <c r="D211" s="904">
        <v>8012717</v>
      </c>
      <c r="E211" s="495" t="s">
        <v>2872</v>
      </c>
      <c r="F211" s="495" t="s">
        <v>1789</v>
      </c>
      <c r="G211" s="408" t="s">
        <v>2861</v>
      </c>
      <c r="H211" s="495" t="s">
        <v>1480</v>
      </c>
      <c r="I211" s="923" t="s">
        <v>2886</v>
      </c>
      <c r="J211" s="906">
        <v>4000</v>
      </c>
      <c r="K211" s="912">
        <f>J211*0.7</f>
        <v>2800</v>
      </c>
      <c r="L211" s="912">
        <v>2800</v>
      </c>
      <c r="M211" s="950">
        <f>2160+529</f>
        <v>2689</v>
      </c>
      <c r="N211" s="950">
        <v>2689</v>
      </c>
      <c r="O211" s="491"/>
      <c r="P211" s="950">
        <v>111</v>
      </c>
      <c r="Q211" s="495" t="s">
        <v>2538</v>
      </c>
      <c r="R211" s="1048"/>
      <c r="S211" s="972"/>
      <c r="T211" s="935"/>
      <c r="U211" s="935"/>
      <c r="V211" s="950"/>
      <c r="W211" s="950">
        <v>2160</v>
      </c>
      <c r="X211" s="495" t="s">
        <v>2741</v>
      </c>
      <c r="Y211" s="950">
        <v>1688</v>
      </c>
      <c r="Z211" s="1049">
        <v>529</v>
      </c>
      <c r="AA211" s="403"/>
    </row>
    <row r="212" spans="1:27" s="883" customFormat="1" ht="73.5" customHeight="1">
      <c r="A212" s="920">
        <v>28</v>
      </c>
      <c r="B212" s="937" t="s">
        <v>2887</v>
      </c>
      <c r="C212" s="495" t="s">
        <v>89</v>
      </c>
      <c r="D212" s="1051">
        <v>8077286</v>
      </c>
      <c r="E212" s="495" t="s">
        <v>687</v>
      </c>
      <c r="F212" s="495" t="s">
        <v>2888</v>
      </c>
      <c r="G212" s="904" t="s">
        <v>1370</v>
      </c>
      <c r="H212" s="495" t="s">
        <v>1480</v>
      </c>
      <c r="I212" s="904" t="s">
        <v>2889</v>
      </c>
      <c r="J212" s="906">
        <v>6800</v>
      </c>
      <c r="K212" s="912">
        <f>J212*0.8</f>
        <v>5440</v>
      </c>
      <c r="L212" s="912">
        <v>5440</v>
      </c>
      <c r="M212" s="950">
        <v>1000</v>
      </c>
      <c r="N212" s="950">
        <v>5440</v>
      </c>
      <c r="O212" s="491"/>
      <c r="P212" s="950"/>
      <c r="Q212" s="495"/>
      <c r="R212" s="1048"/>
      <c r="S212" s="972"/>
      <c r="T212" s="935"/>
      <c r="U212" s="935"/>
      <c r="V212" s="403"/>
      <c r="W212" s="403"/>
      <c r="X212" s="403"/>
      <c r="Y212" s="950"/>
      <c r="Z212" s="1049">
        <v>1000</v>
      </c>
      <c r="AA212" s="403"/>
    </row>
    <row r="213" spans="1:27" s="883" customFormat="1" ht="64.5" customHeight="1">
      <c r="A213" s="920">
        <v>29</v>
      </c>
      <c r="B213" s="937" t="s">
        <v>2890</v>
      </c>
      <c r="C213" s="495" t="s">
        <v>89</v>
      </c>
      <c r="D213" s="894"/>
      <c r="E213" s="495" t="s">
        <v>687</v>
      </c>
      <c r="F213" s="495" t="s">
        <v>2888</v>
      </c>
      <c r="G213" s="904" t="s">
        <v>1370</v>
      </c>
      <c r="H213" s="495" t="s">
        <v>1480</v>
      </c>
      <c r="I213" s="904" t="s">
        <v>2891</v>
      </c>
      <c r="J213" s="906">
        <v>6434</v>
      </c>
      <c r="K213" s="912">
        <f>J213*0.8</f>
        <v>5147.2000000000007</v>
      </c>
      <c r="L213" s="912">
        <v>5760</v>
      </c>
      <c r="M213" s="950">
        <f>T213+U213+W213+Z213</f>
        <v>0</v>
      </c>
      <c r="N213" s="950">
        <v>5147</v>
      </c>
      <c r="O213" s="491"/>
      <c r="P213" s="912">
        <v>613</v>
      </c>
      <c r="Q213" s="910" t="s">
        <v>2764</v>
      </c>
      <c r="R213" s="909"/>
      <c r="S213" s="972"/>
      <c r="T213" s="935"/>
      <c r="U213" s="935"/>
      <c r="V213" s="403"/>
      <c r="W213" s="403"/>
      <c r="X213" s="403"/>
      <c r="Y213" s="403"/>
      <c r="Z213" s="403"/>
      <c r="AA213" s="403"/>
    </row>
    <row r="214" spans="1:27" s="883" customFormat="1" ht="73.5" customHeight="1">
      <c r="A214" s="920">
        <v>30</v>
      </c>
      <c r="B214" s="937" t="s">
        <v>2892</v>
      </c>
      <c r="C214" s="495" t="s">
        <v>89</v>
      </c>
      <c r="D214" s="894"/>
      <c r="E214" s="495" t="s">
        <v>687</v>
      </c>
      <c r="F214" s="495" t="s">
        <v>2888</v>
      </c>
      <c r="G214" s="904" t="s">
        <v>1370</v>
      </c>
      <c r="H214" s="495" t="s">
        <v>1480</v>
      </c>
      <c r="I214" s="904" t="s">
        <v>2893</v>
      </c>
      <c r="J214" s="906">
        <v>5916</v>
      </c>
      <c r="K214" s="912">
        <f>J214*0.8</f>
        <v>4732.8</v>
      </c>
      <c r="L214" s="912">
        <v>4800</v>
      </c>
      <c r="M214" s="950">
        <f>T214+U214+W214+Z214</f>
        <v>0</v>
      </c>
      <c r="N214" s="950">
        <v>4733</v>
      </c>
      <c r="O214" s="491"/>
      <c r="P214" s="950">
        <v>67</v>
      </c>
      <c r="Q214" s="910" t="s">
        <v>2764</v>
      </c>
      <c r="R214" s="909"/>
      <c r="S214" s="972"/>
      <c r="T214" s="935"/>
      <c r="U214" s="935"/>
      <c r="V214" s="403"/>
      <c r="W214" s="403"/>
      <c r="X214" s="403"/>
      <c r="Y214" s="403"/>
      <c r="Z214" s="403"/>
      <c r="AA214" s="403"/>
    </row>
    <row r="215" spans="1:27" s="883" customFormat="1" ht="73.5" customHeight="1">
      <c r="A215" s="920">
        <v>31</v>
      </c>
      <c r="B215" s="937" t="s">
        <v>2894</v>
      </c>
      <c r="C215" s="495" t="s">
        <v>89</v>
      </c>
      <c r="D215" s="894"/>
      <c r="E215" s="495" t="s">
        <v>687</v>
      </c>
      <c r="F215" s="495" t="s">
        <v>2888</v>
      </c>
      <c r="G215" s="904" t="s">
        <v>1266</v>
      </c>
      <c r="H215" s="495" t="s">
        <v>1480</v>
      </c>
      <c r="I215" s="904" t="s">
        <v>2895</v>
      </c>
      <c r="J215" s="906">
        <v>2200</v>
      </c>
      <c r="K215" s="912">
        <f>J215*50/100</f>
        <v>1100</v>
      </c>
      <c r="L215" s="912">
        <v>1100</v>
      </c>
      <c r="M215" s="950">
        <f>T215+U215+W215+Z215</f>
        <v>0</v>
      </c>
      <c r="N215" s="950">
        <v>1100</v>
      </c>
      <c r="O215" s="491"/>
      <c r="P215" s="950"/>
      <c r="Q215" s="495"/>
      <c r="R215" s="1048"/>
      <c r="S215" s="972"/>
      <c r="T215" s="935"/>
      <c r="U215" s="935"/>
      <c r="V215" s="403"/>
      <c r="W215" s="403"/>
      <c r="X215" s="403"/>
      <c r="Y215" s="403"/>
      <c r="Z215" s="403"/>
      <c r="AA215" s="403"/>
    </row>
    <row r="216" spans="1:27" s="883" customFormat="1" ht="73.5" customHeight="1">
      <c r="A216" s="920">
        <v>32</v>
      </c>
      <c r="B216" s="937" t="s">
        <v>2896</v>
      </c>
      <c r="C216" s="495" t="s">
        <v>89</v>
      </c>
      <c r="D216" s="904">
        <v>8012721</v>
      </c>
      <c r="E216" s="495" t="s">
        <v>687</v>
      </c>
      <c r="F216" s="495" t="s">
        <v>2897</v>
      </c>
      <c r="G216" s="904" t="s">
        <v>1370</v>
      </c>
      <c r="H216" s="495" t="s">
        <v>1480</v>
      </c>
      <c r="I216" s="904" t="s">
        <v>2898</v>
      </c>
      <c r="J216" s="971">
        <v>3774</v>
      </c>
      <c r="K216" s="912">
        <f>J216*80/100</f>
        <v>3019.2</v>
      </c>
      <c r="L216" s="912">
        <v>3200</v>
      </c>
      <c r="M216" s="950">
        <f>2363+656</f>
        <v>3019</v>
      </c>
      <c r="N216" s="950">
        <v>3019</v>
      </c>
      <c r="O216" s="491"/>
      <c r="P216" s="950">
        <v>181</v>
      </c>
      <c r="Q216" s="910" t="s">
        <v>2764</v>
      </c>
      <c r="R216" s="909"/>
      <c r="S216" s="972"/>
      <c r="T216" s="935"/>
      <c r="U216" s="935"/>
      <c r="V216" s="950"/>
      <c r="W216" s="950">
        <v>2363</v>
      </c>
      <c r="X216" s="495" t="s">
        <v>2741</v>
      </c>
      <c r="Y216" s="950">
        <v>2363</v>
      </c>
      <c r="Z216" s="1049">
        <v>656</v>
      </c>
      <c r="AA216" s="403"/>
    </row>
    <row r="217" spans="1:27" s="883" customFormat="1" ht="67.5" customHeight="1">
      <c r="A217" s="920">
        <v>33</v>
      </c>
      <c r="B217" s="937" t="s">
        <v>2899</v>
      </c>
      <c r="C217" s="495" t="s">
        <v>89</v>
      </c>
      <c r="D217" s="904">
        <v>8012222</v>
      </c>
      <c r="E217" s="495" t="s">
        <v>687</v>
      </c>
      <c r="F217" s="495" t="s">
        <v>2897</v>
      </c>
      <c r="G217" s="904" t="s">
        <v>1370</v>
      </c>
      <c r="H217" s="495" t="s">
        <v>1480</v>
      </c>
      <c r="I217" s="904" t="s">
        <v>2900</v>
      </c>
      <c r="J217" s="971">
        <v>18000</v>
      </c>
      <c r="K217" s="912">
        <f>J217*0.5</f>
        <v>9000</v>
      </c>
      <c r="L217" s="912">
        <v>9000</v>
      </c>
      <c r="M217" s="950">
        <f>3700+5300</f>
        <v>9000</v>
      </c>
      <c r="N217" s="950">
        <v>9000</v>
      </c>
      <c r="O217" s="491"/>
      <c r="P217" s="950"/>
      <c r="Q217" s="495"/>
      <c r="R217" s="1048"/>
      <c r="S217" s="972"/>
      <c r="T217" s="935"/>
      <c r="U217" s="935"/>
      <c r="V217" s="950"/>
      <c r="W217" s="950">
        <v>3700</v>
      </c>
      <c r="X217" s="495"/>
      <c r="Y217" s="950">
        <v>3700</v>
      </c>
      <c r="Z217" s="1049">
        <v>5300</v>
      </c>
      <c r="AA217" s="403"/>
    </row>
    <row r="218" spans="1:27" s="883" customFormat="1" ht="77.25" customHeight="1">
      <c r="A218" s="920">
        <v>34</v>
      </c>
      <c r="B218" s="937" t="s">
        <v>2901</v>
      </c>
      <c r="C218" s="495" t="s">
        <v>89</v>
      </c>
      <c r="D218" s="1052">
        <v>8074750</v>
      </c>
      <c r="E218" s="495" t="s">
        <v>687</v>
      </c>
      <c r="F218" s="495" t="s">
        <v>2897</v>
      </c>
      <c r="G218" s="408" t="s">
        <v>2861</v>
      </c>
      <c r="H218" s="495" t="s">
        <v>1480</v>
      </c>
      <c r="I218" s="408" t="s">
        <v>2902</v>
      </c>
      <c r="J218" s="912">
        <v>4000</v>
      </c>
      <c r="K218" s="912">
        <f>J218*70/100</f>
        <v>2800</v>
      </c>
      <c r="L218" s="912">
        <v>2800</v>
      </c>
      <c r="M218" s="950">
        <v>1083</v>
      </c>
      <c r="N218" s="950">
        <v>2800</v>
      </c>
      <c r="O218" s="491"/>
      <c r="P218" s="950"/>
      <c r="Q218" s="495"/>
      <c r="R218" s="1048"/>
      <c r="S218" s="972"/>
      <c r="T218" s="935"/>
      <c r="U218" s="935"/>
      <c r="V218" s="403"/>
      <c r="W218" s="403"/>
      <c r="X218" s="403"/>
      <c r="Y218" s="950"/>
      <c r="Z218" s="1049">
        <v>1083</v>
      </c>
      <c r="AA218" s="403"/>
    </row>
    <row r="219" spans="1:27" s="883" customFormat="1" ht="63" customHeight="1">
      <c r="A219" s="920">
        <v>35</v>
      </c>
      <c r="B219" s="937" t="s">
        <v>2903</v>
      </c>
      <c r="C219" s="495" t="s">
        <v>89</v>
      </c>
      <c r="D219" s="894"/>
      <c r="E219" s="495" t="s">
        <v>687</v>
      </c>
      <c r="F219" s="495" t="s">
        <v>1801</v>
      </c>
      <c r="G219" s="904" t="s">
        <v>2865</v>
      </c>
      <c r="H219" s="495" t="s">
        <v>1480</v>
      </c>
      <c r="I219" s="904" t="s">
        <v>2904</v>
      </c>
      <c r="J219" s="912">
        <v>6000</v>
      </c>
      <c r="K219" s="912">
        <f>J219*50/100</f>
        <v>3000</v>
      </c>
      <c r="L219" s="912">
        <v>3000</v>
      </c>
      <c r="M219" s="950">
        <f>T219+U219+W219+Z219</f>
        <v>0</v>
      </c>
      <c r="N219" s="950">
        <v>3000</v>
      </c>
      <c r="O219" s="491"/>
      <c r="P219" s="950"/>
      <c r="Q219" s="495"/>
      <c r="R219" s="1048"/>
      <c r="S219" s="972"/>
      <c r="T219" s="935"/>
      <c r="U219" s="935"/>
      <c r="V219" s="403"/>
      <c r="W219" s="403"/>
      <c r="X219" s="403"/>
      <c r="Y219" s="403"/>
      <c r="Z219" s="403"/>
      <c r="AA219" s="403"/>
    </row>
    <row r="220" spans="1:27" s="883" customFormat="1" ht="67.5" customHeight="1">
      <c r="A220" s="920">
        <v>36</v>
      </c>
      <c r="B220" s="937" t="s">
        <v>2905</v>
      </c>
      <c r="C220" s="495" t="s">
        <v>89</v>
      </c>
      <c r="D220" s="1053">
        <v>8077287</v>
      </c>
      <c r="E220" s="495" t="s">
        <v>687</v>
      </c>
      <c r="F220" s="495" t="s">
        <v>1801</v>
      </c>
      <c r="G220" s="904" t="s">
        <v>1259</v>
      </c>
      <c r="H220" s="495" t="s">
        <v>1480</v>
      </c>
      <c r="I220" s="904" t="s">
        <v>2906</v>
      </c>
      <c r="J220" s="912">
        <v>9000</v>
      </c>
      <c r="K220" s="912">
        <f>J220*0.8</f>
        <v>7200</v>
      </c>
      <c r="L220" s="912">
        <v>7200</v>
      </c>
      <c r="M220" s="950">
        <v>2000</v>
      </c>
      <c r="N220" s="950">
        <v>7200</v>
      </c>
      <c r="O220" s="491"/>
      <c r="P220" s="950"/>
      <c r="Q220" s="495"/>
      <c r="R220" s="1048"/>
      <c r="S220" s="972"/>
      <c r="T220" s="935"/>
      <c r="U220" s="935"/>
      <c r="V220" s="403"/>
      <c r="W220" s="403"/>
      <c r="X220" s="403"/>
      <c r="Y220" s="950"/>
      <c r="Z220" s="1049">
        <v>2000</v>
      </c>
      <c r="AA220" s="403"/>
    </row>
    <row r="221" spans="1:27" s="883" customFormat="1" ht="72.75" customHeight="1">
      <c r="A221" s="920">
        <v>37</v>
      </c>
      <c r="B221" s="417" t="s">
        <v>2907</v>
      </c>
      <c r="C221" s="495" t="s">
        <v>89</v>
      </c>
      <c r="D221" s="1054">
        <v>8074753</v>
      </c>
      <c r="E221" s="495" t="s">
        <v>687</v>
      </c>
      <c r="F221" s="495" t="s">
        <v>1824</v>
      </c>
      <c r="G221" s="904" t="s">
        <v>1259</v>
      </c>
      <c r="H221" s="495" t="s">
        <v>1480</v>
      </c>
      <c r="I221" s="904" t="s">
        <v>2908</v>
      </c>
      <c r="J221" s="906">
        <v>3000</v>
      </c>
      <c r="K221" s="912">
        <f>J221*80/100</f>
        <v>2400</v>
      </c>
      <c r="L221" s="912">
        <v>2400</v>
      </c>
      <c r="M221" s="950">
        <v>581</v>
      </c>
      <c r="N221" s="950">
        <v>2400</v>
      </c>
      <c r="O221" s="491"/>
      <c r="P221" s="950"/>
      <c r="Q221" s="495"/>
      <c r="R221" s="1048"/>
      <c r="S221" s="972"/>
      <c r="T221" s="935"/>
      <c r="U221" s="935"/>
      <c r="V221" s="403"/>
      <c r="W221" s="403"/>
      <c r="X221" s="403"/>
      <c r="Y221" s="950"/>
      <c r="Z221" s="1049">
        <v>581</v>
      </c>
      <c r="AA221" s="403"/>
    </row>
    <row r="222" spans="1:27" s="883" customFormat="1" ht="66.75" customHeight="1">
      <c r="A222" s="920">
        <v>38</v>
      </c>
      <c r="B222" s="937" t="s">
        <v>2909</v>
      </c>
      <c r="C222" s="495" t="s">
        <v>89</v>
      </c>
      <c r="D222" s="894"/>
      <c r="E222" s="495" t="s">
        <v>687</v>
      </c>
      <c r="F222" s="495" t="s">
        <v>1824</v>
      </c>
      <c r="G222" s="904" t="s">
        <v>1259</v>
      </c>
      <c r="H222" s="495" t="s">
        <v>1253</v>
      </c>
      <c r="I222" s="904" t="s">
        <v>2910</v>
      </c>
      <c r="J222" s="906">
        <v>18000</v>
      </c>
      <c r="K222" s="912">
        <f>J222*80/100</f>
        <v>14400</v>
      </c>
      <c r="L222" s="912">
        <v>12960</v>
      </c>
      <c r="M222" s="950">
        <f t="shared" ref="M222:M230" si="33">T222+U222+W222+Z222</f>
        <v>0</v>
      </c>
      <c r="N222" s="950">
        <v>14400</v>
      </c>
      <c r="O222" s="491">
        <f t="shared" ref="O217:O222" si="34">N222-L222</f>
        <v>1440</v>
      </c>
      <c r="P222" s="950"/>
      <c r="Q222" s="942" t="s">
        <v>2566</v>
      </c>
      <c r="R222" s="956"/>
      <c r="S222" s="972" t="s">
        <v>2567</v>
      </c>
      <c r="T222" s="935"/>
      <c r="U222" s="935"/>
      <c r="V222" s="403"/>
      <c r="W222" s="403"/>
      <c r="X222" s="403"/>
      <c r="Y222" s="403"/>
      <c r="Z222" s="403"/>
      <c r="AA222" s="403"/>
    </row>
    <row r="223" spans="1:27" s="883" customFormat="1" ht="72.75" customHeight="1">
      <c r="A223" s="920">
        <v>39</v>
      </c>
      <c r="B223" s="937" t="s">
        <v>2911</v>
      </c>
      <c r="C223" s="495" t="s">
        <v>89</v>
      </c>
      <c r="D223" s="894"/>
      <c r="E223" s="495" t="s">
        <v>687</v>
      </c>
      <c r="F223" s="495" t="s">
        <v>1824</v>
      </c>
      <c r="G223" s="904" t="s">
        <v>1266</v>
      </c>
      <c r="H223" s="495" t="s">
        <v>1480</v>
      </c>
      <c r="I223" s="904" t="s">
        <v>2912</v>
      </c>
      <c r="J223" s="906">
        <v>6580</v>
      </c>
      <c r="K223" s="912">
        <f>J223*50/100</f>
        <v>3290</v>
      </c>
      <c r="L223" s="906">
        <v>3900</v>
      </c>
      <c r="M223" s="950">
        <f t="shared" si="33"/>
        <v>0</v>
      </c>
      <c r="N223" s="950">
        <v>3290</v>
      </c>
      <c r="O223" s="491"/>
      <c r="P223" s="950">
        <v>610</v>
      </c>
      <c r="Q223" s="910" t="s">
        <v>2764</v>
      </c>
      <c r="R223" s="909"/>
      <c r="S223" s="972"/>
      <c r="T223" s="935"/>
      <c r="U223" s="935"/>
      <c r="V223" s="403"/>
      <c r="W223" s="403"/>
      <c r="X223" s="403"/>
      <c r="Y223" s="403"/>
      <c r="Z223" s="403"/>
      <c r="AA223" s="403"/>
    </row>
    <row r="224" spans="1:27" s="883" customFormat="1" ht="84.75" customHeight="1">
      <c r="A224" s="920">
        <v>40</v>
      </c>
      <c r="B224" s="937" t="s">
        <v>2913</v>
      </c>
      <c r="C224" s="495" t="s">
        <v>89</v>
      </c>
      <c r="D224" s="894"/>
      <c r="E224" s="495" t="s">
        <v>687</v>
      </c>
      <c r="F224" s="495" t="s">
        <v>1824</v>
      </c>
      <c r="G224" s="408" t="s">
        <v>2861</v>
      </c>
      <c r="H224" s="495" t="s">
        <v>1480</v>
      </c>
      <c r="I224" s="408" t="s">
        <v>2914</v>
      </c>
      <c r="J224" s="912">
        <v>3933</v>
      </c>
      <c r="K224" s="912">
        <f>J224*70/100</f>
        <v>2753.1</v>
      </c>
      <c r="L224" s="906">
        <v>2800</v>
      </c>
      <c r="M224" s="950">
        <f t="shared" si="33"/>
        <v>0</v>
      </c>
      <c r="N224" s="950">
        <v>2753</v>
      </c>
      <c r="O224" s="491"/>
      <c r="P224" s="950">
        <v>47</v>
      </c>
      <c r="Q224" s="910" t="s">
        <v>2764</v>
      </c>
      <c r="R224" s="909"/>
      <c r="S224" s="972" t="s">
        <v>2915</v>
      </c>
      <c r="T224" s="935"/>
      <c r="U224" s="935"/>
      <c r="V224" s="403"/>
      <c r="W224" s="403"/>
      <c r="X224" s="403"/>
      <c r="Y224" s="403"/>
      <c r="Z224" s="403"/>
      <c r="AA224" s="403"/>
    </row>
    <row r="225" spans="1:27" s="883" customFormat="1" ht="71.25" customHeight="1">
      <c r="A225" s="920">
        <v>41</v>
      </c>
      <c r="B225" s="937" t="s">
        <v>2916</v>
      </c>
      <c r="C225" s="495" t="s">
        <v>89</v>
      </c>
      <c r="D225" s="894"/>
      <c r="E225" s="495" t="s">
        <v>687</v>
      </c>
      <c r="F225" s="495" t="s">
        <v>2917</v>
      </c>
      <c r="G225" s="904" t="s">
        <v>1259</v>
      </c>
      <c r="H225" s="495" t="s">
        <v>1480</v>
      </c>
      <c r="I225" s="904" t="s">
        <v>2918</v>
      </c>
      <c r="J225" s="906">
        <v>2500</v>
      </c>
      <c r="K225" s="912">
        <f>J225*80/100</f>
        <v>2000</v>
      </c>
      <c r="L225" s="906">
        <v>2000</v>
      </c>
      <c r="M225" s="950">
        <f t="shared" si="33"/>
        <v>0</v>
      </c>
      <c r="N225" s="950">
        <v>2000</v>
      </c>
      <c r="O225" s="491"/>
      <c r="P225" s="950"/>
      <c r="Q225" s="495"/>
      <c r="R225" s="1048"/>
      <c r="S225" s="972"/>
      <c r="T225" s="935"/>
      <c r="U225" s="935"/>
      <c r="V225" s="403"/>
      <c r="W225" s="403"/>
      <c r="X225" s="403"/>
      <c r="Y225" s="403"/>
      <c r="Z225" s="403"/>
      <c r="AA225" s="403"/>
    </row>
    <row r="226" spans="1:27" s="883" customFormat="1" ht="67.5" customHeight="1">
      <c r="A226" s="920">
        <v>42</v>
      </c>
      <c r="B226" s="937" t="s">
        <v>2919</v>
      </c>
      <c r="C226" s="495" t="s">
        <v>89</v>
      </c>
      <c r="D226" s="894"/>
      <c r="E226" s="495" t="s">
        <v>687</v>
      </c>
      <c r="F226" s="495" t="s">
        <v>2917</v>
      </c>
      <c r="G226" s="904" t="s">
        <v>1259</v>
      </c>
      <c r="H226" s="495" t="s">
        <v>1253</v>
      </c>
      <c r="I226" s="904" t="s">
        <v>2920</v>
      </c>
      <c r="J226" s="906">
        <v>8970</v>
      </c>
      <c r="K226" s="912">
        <f>J226*80/100</f>
        <v>7176</v>
      </c>
      <c r="L226" s="912">
        <v>4128</v>
      </c>
      <c r="M226" s="950">
        <f t="shared" si="33"/>
        <v>0</v>
      </c>
      <c r="N226" s="950">
        <v>7176</v>
      </c>
      <c r="O226" s="491">
        <f>N226-L226</f>
        <v>3048</v>
      </c>
      <c r="P226" s="950"/>
      <c r="Q226" s="942" t="s">
        <v>2566</v>
      </c>
      <c r="R226" s="956"/>
      <c r="S226" s="972" t="s">
        <v>2567</v>
      </c>
      <c r="T226" s="935"/>
      <c r="U226" s="935"/>
      <c r="V226" s="403"/>
      <c r="W226" s="403"/>
      <c r="X226" s="403"/>
      <c r="Y226" s="403"/>
      <c r="Z226" s="403"/>
      <c r="AA226" s="403"/>
    </row>
    <row r="227" spans="1:27" s="883" customFormat="1" ht="67.5" customHeight="1">
      <c r="A227" s="920">
        <v>43</v>
      </c>
      <c r="B227" s="937" t="s">
        <v>2921</v>
      </c>
      <c r="C227" s="495" t="s">
        <v>89</v>
      </c>
      <c r="D227" s="894"/>
      <c r="E227" s="495" t="s">
        <v>687</v>
      </c>
      <c r="F227" s="495" t="s">
        <v>2917</v>
      </c>
      <c r="G227" s="904" t="s">
        <v>1266</v>
      </c>
      <c r="H227" s="495" t="s">
        <v>1480</v>
      </c>
      <c r="I227" s="904" t="s">
        <v>2922</v>
      </c>
      <c r="J227" s="906">
        <v>7500</v>
      </c>
      <c r="K227" s="912">
        <f>J227*50/100</f>
        <v>3750</v>
      </c>
      <c r="L227" s="912">
        <v>3800</v>
      </c>
      <c r="M227" s="950">
        <f t="shared" si="33"/>
        <v>0</v>
      </c>
      <c r="N227" s="950">
        <v>3750</v>
      </c>
      <c r="O227" s="491"/>
      <c r="P227" s="950">
        <v>50</v>
      </c>
      <c r="Q227" s="910" t="s">
        <v>2764</v>
      </c>
      <c r="R227" s="909"/>
      <c r="S227" s="972"/>
      <c r="T227" s="935"/>
      <c r="U227" s="935"/>
      <c r="V227" s="403"/>
      <c r="W227" s="403"/>
      <c r="X227" s="403"/>
      <c r="Y227" s="403"/>
      <c r="Z227" s="403"/>
      <c r="AA227" s="403"/>
    </row>
    <row r="228" spans="1:27" s="883" customFormat="1" ht="87.75" customHeight="1">
      <c r="A228" s="920">
        <v>44</v>
      </c>
      <c r="B228" s="937" t="s">
        <v>2923</v>
      </c>
      <c r="C228" s="495" t="s">
        <v>89</v>
      </c>
      <c r="D228" s="894"/>
      <c r="E228" s="495" t="s">
        <v>687</v>
      </c>
      <c r="F228" s="495" t="s">
        <v>2917</v>
      </c>
      <c r="G228" s="408" t="s">
        <v>2861</v>
      </c>
      <c r="H228" s="495" t="s">
        <v>1480</v>
      </c>
      <c r="I228" s="408" t="s">
        <v>2924</v>
      </c>
      <c r="J228" s="912">
        <v>4000</v>
      </c>
      <c r="K228" s="912">
        <f>J228*0.7</f>
        <v>2800</v>
      </c>
      <c r="L228" s="912">
        <v>2800</v>
      </c>
      <c r="M228" s="950">
        <f t="shared" si="33"/>
        <v>0</v>
      </c>
      <c r="N228" s="950">
        <v>2800</v>
      </c>
      <c r="O228" s="491"/>
      <c r="P228" s="950"/>
      <c r="Q228" s="412"/>
      <c r="R228" s="1048"/>
      <c r="S228" s="972"/>
      <c r="T228" s="935"/>
      <c r="U228" s="935"/>
      <c r="V228" s="403"/>
      <c r="W228" s="403"/>
      <c r="X228" s="403"/>
      <c r="Y228" s="403"/>
      <c r="Z228" s="403"/>
      <c r="AA228" s="403"/>
    </row>
    <row r="229" spans="1:27" s="883" customFormat="1" ht="73.5" customHeight="1">
      <c r="A229" s="920">
        <v>45</v>
      </c>
      <c r="B229" s="937" t="s">
        <v>2925</v>
      </c>
      <c r="C229" s="495" t="s">
        <v>89</v>
      </c>
      <c r="D229" s="894"/>
      <c r="E229" s="495" t="s">
        <v>687</v>
      </c>
      <c r="F229" s="495" t="s">
        <v>2926</v>
      </c>
      <c r="G229" s="904" t="s">
        <v>2927</v>
      </c>
      <c r="H229" s="495" t="s">
        <v>1253</v>
      </c>
      <c r="I229" s="904" t="s">
        <v>2928</v>
      </c>
      <c r="J229" s="912">
        <v>4000</v>
      </c>
      <c r="K229" s="912">
        <f>J229*0.7</f>
        <v>2800</v>
      </c>
      <c r="L229" s="912">
        <v>2800</v>
      </c>
      <c r="M229" s="950">
        <f t="shared" si="33"/>
        <v>0</v>
      </c>
      <c r="N229" s="950">
        <v>2800</v>
      </c>
      <c r="O229" s="491"/>
      <c r="P229" s="950"/>
      <c r="Q229" s="412"/>
      <c r="R229" s="1048"/>
      <c r="S229" s="972"/>
      <c r="T229" s="935"/>
      <c r="U229" s="935"/>
      <c r="V229" s="403"/>
      <c r="W229" s="403"/>
      <c r="X229" s="403"/>
      <c r="Y229" s="403"/>
      <c r="Z229" s="403"/>
      <c r="AA229" s="403"/>
    </row>
    <row r="230" spans="1:27" s="883" customFormat="1" ht="68.25" customHeight="1">
      <c r="A230" s="920">
        <v>46</v>
      </c>
      <c r="B230" s="937" t="s">
        <v>2929</v>
      </c>
      <c r="C230" s="495" t="s">
        <v>89</v>
      </c>
      <c r="D230" s="894"/>
      <c r="E230" s="495" t="s">
        <v>687</v>
      </c>
      <c r="F230" s="495" t="s">
        <v>2930</v>
      </c>
      <c r="G230" s="904" t="s">
        <v>2927</v>
      </c>
      <c r="H230" s="495" t="s">
        <v>1253</v>
      </c>
      <c r="I230" s="904" t="s">
        <v>2931</v>
      </c>
      <c r="J230" s="912">
        <v>4000</v>
      </c>
      <c r="K230" s="912">
        <f>J230*0.7</f>
        <v>2800</v>
      </c>
      <c r="L230" s="912">
        <v>2800</v>
      </c>
      <c r="M230" s="950">
        <f t="shared" si="33"/>
        <v>0</v>
      </c>
      <c r="N230" s="950">
        <v>2800</v>
      </c>
      <c r="O230" s="491"/>
      <c r="P230" s="950"/>
      <c r="Q230" s="412"/>
      <c r="R230" s="1048"/>
      <c r="S230" s="972"/>
      <c r="T230" s="935"/>
      <c r="U230" s="935"/>
      <c r="V230" s="403"/>
      <c r="W230" s="403"/>
      <c r="X230" s="403"/>
      <c r="Y230" s="403"/>
      <c r="Z230" s="403"/>
      <c r="AA230" s="403"/>
    </row>
    <row r="231" spans="1:27" s="883" customFormat="1" ht="66.75" customHeight="1">
      <c r="A231" s="920">
        <v>47</v>
      </c>
      <c r="B231" s="417" t="s">
        <v>2932</v>
      </c>
      <c r="C231" s="495" t="s">
        <v>89</v>
      </c>
      <c r="D231" s="894"/>
      <c r="E231" s="408" t="s">
        <v>687</v>
      </c>
      <c r="F231" s="408" t="s">
        <v>1782</v>
      </c>
      <c r="G231" s="403"/>
      <c r="H231" s="1055" t="s">
        <v>1253</v>
      </c>
      <c r="I231" s="904"/>
      <c r="J231" s="1056">
        <v>3700</v>
      </c>
      <c r="K231" s="491">
        <f>J231*0.5</f>
        <v>1850</v>
      </c>
      <c r="L231" s="912"/>
      <c r="M231" s="950"/>
      <c r="N231" s="950">
        <v>772</v>
      </c>
      <c r="O231" s="491">
        <v>772</v>
      </c>
      <c r="P231" s="950"/>
      <c r="Q231" s="408" t="s">
        <v>2385</v>
      </c>
      <c r="R231" s="1048"/>
      <c r="S231" s="972"/>
      <c r="T231" s="936"/>
      <c r="U231" s="936"/>
      <c r="V231" s="927"/>
      <c r="W231" s="927"/>
      <c r="X231" s="927"/>
      <c r="Y231" s="927"/>
      <c r="Z231" s="927"/>
      <c r="AA231" s="927"/>
    </row>
    <row r="232" spans="1:27" s="883" customFormat="1" ht="54.75" customHeight="1">
      <c r="A232" s="894" t="s">
        <v>169</v>
      </c>
      <c r="B232" s="895" t="s">
        <v>939</v>
      </c>
      <c r="C232" s="495"/>
      <c r="D232" s="894"/>
      <c r="E232" s="894"/>
      <c r="F232" s="894"/>
      <c r="G232" s="894"/>
      <c r="H232" s="894"/>
      <c r="I232" s="896"/>
      <c r="J232" s="897">
        <f>J233</f>
        <v>36618.199999999997</v>
      </c>
      <c r="K232" s="897">
        <f t="shared" ref="K232:P232" si="35">K233</f>
        <v>18638.98</v>
      </c>
      <c r="L232" s="897">
        <f t="shared" si="35"/>
        <v>18276</v>
      </c>
      <c r="M232" s="897">
        <f t="shared" si="35"/>
        <v>8100</v>
      </c>
      <c r="N232" s="897">
        <f t="shared" si="35"/>
        <v>18276</v>
      </c>
      <c r="O232" s="897">
        <f t="shared" si="35"/>
        <v>1561</v>
      </c>
      <c r="P232" s="897">
        <f t="shared" si="35"/>
        <v>1561</v>
      </c>
      <c r="Q232" s="1057"/>
      <c r="R232" s="1058"/>
      <c r="S232" s="972"/>
      <c r="T232" s="936"/>
      <c r="U232" s="936"/>
      <c r="V232" s="927"/>
      <c r="W232" s="927"/>
      <c r="X232" s="927"/>
      <c r="Y232" s="927"/>
      <c r="Z232" s="927"/>
      <c r="AA232" s="927"/>
    </row>
    <row r="233" spans="1:27" s="883" customFormat="1" ht="51.75" customHeight="1">
      <c r="A233" s="894" t="s">
        <v>279</v>
      </c>
      <c r="B233" s="900" t="s">
        <v>685</v>
      </c>
      <c r="C233" s="495"/>
      <c r="D233" s="894"/>
      <c r="E233" s="894"/>
      <c r="F233" s="894"/>
      <c r="G233" s="894"/>
      <c r="H233" s="894"/>
      <c r="I233" s="896"/>
      <c r="J233" s="964">
        <f t="shared" ref="J233:K233" si="36">SUM(J234:J242)</f>
        <v>36618.199999999997</v>
      </c>
      <c r="K233" s="964">
        <f t="shared" si="36"/>
        <v>18638.98</v>
      </c>
      <c r="L233" s="964">
        <f>SUM(L234:L242)</f>
        <v>18276</v>
      </c>
      <c r="M233" s="964">
        <f t="shared" ref="M233:P233" si="37">SUM(M234:M242)</f>
        <v>8100</v>
      </c>
      <c r="N233" s="964">
        <f t="shared" si="37"/>
        <v>18276</v>
      </c>
      <c r="O233" s="964">
        <f t="shared" si="37"/>
        <v>1561</v>
      </c>
      <c r="P233" s="964">
        <f t="shared" si="37"/>
        <v>1561</v>
      </c>
      <c r="Q233" s="1057"/>
      <c r="R233" s="1058"/>
      <c r="S233" s="972"/>
      <c r="T233" s="936"/>
      <c r="U233" s="936"/>
      <c r="V233" s="927"/>
      <c r="W233" s="927"/>
      <c r="X233" s="927"/>
      <c r="Y233" s="927"/>
      <c r="Z233" s="927"/>
      <c r="AA233" s="927"/>
    </row>
    <row r="234" spans="1:27" s="883" customFormat="1" ht="64.5" customHeight="1">
      <c r="A234" s="495">
        <v>1</v>
      </c>
      <c r="B234" s="903" t="s">
        <v>2933</v>
      </c>
      <c r="C234" s="495" t="s">
        <v>89</v>
      </c>
      <c r="D234" s="1059">
        <v>8047635</v>
      </c>
      <c r="E234" s="495" t="s">
        <v>2934</v>
      </c>
      <c r="F234" s="495" t="s">
        <v>2935</v>
      </c>
      <c r="G234" s="495" t="s">
        <v>1259</v>
      </c>
      <c r="H234" s="495" t="s">
        <v>1480</v>
      </c>
      <c r="I234" s="495" t="s">
        <v>2936</v>
      </c>
      <c r="J234" s="912">
        <v>5728.8</v>
      </c>
      <c r="K234" s="912">
        <f>J234*0.5</f>
        <v>2864.4</v>
      </c>
      <c r="L234" s="906">
        <v>3100</v>
      </c>
      <c r="M234" s="912">
        <v>1500</v>
      </c>
      <c r="N234" s="912">
        <v>2864</v>
      </c>
      <c r="O234" s="912"/>
      <c r="P234" s="912">
        <v>236</v>
      </c>
      <c r="Q234" s="495" t="s">
        <v>2434</v>
      </c>
      <c r="R234" s="902"/>
      <c r="S234" s="972"/>
      <c r="T234" s="936"/>
      <c r="U234" s="936"/>
      <c r="V234" s="927"/>
      <c r="W234" s="927"/>
      <c r="X234" s="927"/>
      <c r="Y234" s="927"/>
      <c r="Z234" s="927"/>
      <c r="AA234" s="927"/>
    </row>
    <row r="235" spans="1:27" s="883" customFormat="1" ht="66" customHeight="1">
      <c r="A235" s="495">
        <v>2</v>
      </c>
      <c r="B235" s="903" t="s">
        <v>2937</v>
      </c>
      <c r="C235" s="495" t="s">
        <v>89</v>
      </c>
      <c r="D235" s="1059">
        <v>8047633</v>
      </c>
      <c r="E235" s="495" t="s">
        <v>2934</v>
      </c>
      <c r="F235" s="495" t="s">
        <v>2938</v>
      </c>
      <c r="G235" s="495" t="s">
        <v>1259</v>
      </c>
      <c r="H235" s="883" t="s">
        <v>1480</v>
      </c>
      <c r="I235" s="495" t="s">
        <v>2939</v>
      </c>
      <c r="J235" s="912">
        <v>2350</v>
      </c>
      <c r="K235" s="912">
        <f t="shared" ref="K235:K242" si="38">J235*0.5</f>
        <v>1175</v>
      </c>
      <c r="L235" s="906">
        <v>1175</v>
      </c>
      <c r="M235" s="912">
        <v>800</v>
      </c>
      <c r="N235" s="912">
        <v>1175</v>
      </c>
      <c r="O235" s="912"/>
      <c r="P235" s="912"/>
      <c r="Q235" s="495"/>
      <c r="R235" s="902"/>
      <c r="S235" s="972"/>
      <c r="T235" s="936"/>
      <c r="U235" s="936"/>
      <c r="V235" s="927"/>
      <c r="W235" s="927"/>
      <c r="X235" s="927"/>
      <c r="Y235" s="927"/>
      <c r="Z235" s="927"/>
      <c r="AA235" s="927"/>
    </row>
    <row r="236" spans="1:27" s="883" customFormat="1" ht="69.75" customHeight="1">
      <c r="A236" s="495">
        <v>3</v>
      </c>
      <c r="B236" s="903" t="s">
        <v>2940</v>
      </c>
      <c r="C236" s="495" t="s">
        <v>89</v>
      </c>
      <c r="D236" s="1059">
        <v>8047638</v>
      </c>
      <c r="E236" s="495" t="s">
        <v>2934</v>
      </c>
      <c r="F236" s="495" t="s">
        <v>2941</v>
      </c>
      <c r="G236" s="495" t="s">
        <v>1259</v>
      </c>
      <c r="H236" s="495" t="s">
        <v>1480</v>
      </c>
      <c r="I236" s="495" t="s">
        <v>2942</v>
      </c>
      <c r="J236" s="912">
        <v>1099.5999999999999</v>
      </c>
      <c r="K236" s="912">
        <f>J236*0.8</f>
        <v>879.68</v>
      </c>
      <c r="L236" s="906">
        <v>1304</v>
      </c>
      <c r="M236" s="912">
        <v>800</v>
      </c>
      <c r="N236" s="912">
        <v>880</v>
      </c>
      <c r="O236" s="912"/>
      <c r="P236" s="912">
        <v>424</v>
      </c>
      <c r="Q236" s="495" t="s">
        <v>2434</v>
      </c>
      <c r="R236" s="902"/>
      <c r="S236" s="972"/>
      <c r="T236" s="936"/>
      <c r="U236" s="936"/>
      <c r="V236" s="927"/>
      <c r="W236" s="927"/>
      <c r="X236" s="927"/>
      <c r="Y236" s="927"/>
      <c r="Z236" s="927"/>
      <c r="AA236" s="927"/>
    </row>
    <row r="237" spans="1:27" s="883" customFormat="1" ht="75.75" customHeight="1">
      <c r="A237" s="495">
        <v>4</v>
      </c>
      <c r="B237" s="1060" t="s">
        <v>2943</v>
      </c>
      <c r="C237" s="495" t="s">
        <v>89</v>
      </c>
      <c r="D237" s="1059">
        <v>8047636</v>
      </c>
      <c r="E237" s="495" t="s">
        <v>2934</v>
      </c>
      <c r="F237" s="495" t="s">
        <v>2944</v>
      </c>
      <c r="G237" s="495" t="s">
        <v>1259</v>
      </c>
      <c r="H237" s="495" t="s">
        <v>1480</v>
      </c>
      <c r="I237" s="495" t="s">
        <v>2945</v>
      </c>
      <c r="J237" s="912">
        <v>4744.8</v>
      </c>
      <c r="K237" s="912">
        <f t="shared" si="38"/>
        <v>2372.4</v>
      </c>
      <c r="L237" s="906">
        <v>2375</v>
      </c>
      <c r="M237" s="912">
        <v>1300</v>
      </c>
      <c r="N237" s="912">
        <v>2372</v>
      </c>
      <c r="O237" s="912"/>
      <c r="P237" s="912">
        <v>3</v>
      </c>
      <c r="Q237" s="495" t="s">
        <v>2434</v>
      </c>
      <c r="R237" s="902"/>
      <c r="S237" s="972"/>
      <c r="T237" s="936"/>
      <c r="U237" s="936"/>
      <c r="V237" s="927"/>
      <c r="W237" s="927"/>
      <c r="X237" s="927"/>
      <c r="Y237" s="927"/>
      <c r="Z237" s="927"/>
      <c r="AA237" s="927"/>
    </row>
    <row r="238" spans="1:27" s="883" customFormat="1" ht="75.75" customHeight="1">
      <c r="A238" s="495">
        <v>5</v>
      </c>
      <c r="B238" s="903" t="s">
        <v>2946</v>
      </c>
      <c r="C238" s="495" t="s">
        <v>89</v>
      </c>
      <c r="D238" s="1059">
        <v>7936103</v>
      </c>
      <c r="E238" s="495" t="s">
        <v>2934</v>
      </c>
      <c r="F238" s="495" t="s">
        <v>2947</v>
      </c>
      <c r="G238" s="495" t="s">
        <v>1259</v>
      </c>
      <c r="H238" s="495" t="s">
        <v>1480</v>
      </c>
      <c r="I238" s="495" t="s">
        <v>2948</v>
      </c>
      <c r="J238" s="912">
        <v>10236</v>
      </c>
      <c r="K238" s="912">
        <f t="shared" si="38"/>
        <v>5118</v>
      </c>
      <c r="L238" s="906">
        <v>5641</v>
      </c>
      <c r="M238" s="912">
        <v>3000</v>
      </c>
      <c r="N238" s="912">
        <v>5118</v>
      </c>
      <c r="O238" s="912"/>
      <c r="P238" s="912">
        <v>523</v>
      </c>
      <c r="Q238" s="495" t="s">
        <v>2434</v>
      </c>
      <c r="R238" s="902"/>
      <c r="S238" s="972"/>
      <c r="T238" s="936"/>
      <c r="U238" s="936"/>
      <c r="V238" s="927"/>
      <c r="W238" s="927"/>
      <c r="X238" s="927"/>
      <c r="Y238" s="927"/>
      <c r="Z238" s="927"/>
      <c r="AA238" s="927"/>
    </row>
    <row r="239" spans="1:27" s="883" customFormat="1" ht="68.25" customHeight="1">
      <c r="A239" s="495">
        <v>6</v>
      </c>
      <c r="B239" s="417" t="s">
        <v>2949</v>
      </c>
      <c r="C239" s="495" t="s">
        <v>89</v>
      </c>
      <c r="D239" s="1002">
        <v>8047634</v>
      </c>
      <c r="E239" s="495" t="s">
        <v>2934</v>
      </c>
      <c r="F239" s="408" t="s">
        <v>2950</v>
      </c>
      <c r="G239" s="495" t="s">
        <v>1259</v>
      </c>
      <c r="H239" s="495" t="s">
        <v>1480</v>
      </c>
      <c r="I239" s="495" t="s">
        <v>2951</v>
      </c>
      <c r="J239" s="912">
        <v>3974</v>
      </c>
      <c r="K239" s="912">
        <f t="shared" si="38"/>
        <v>1987</v>
      </c>
      <c r="L239" s="906">
        <v>2275</v>
      </c>
      <c r="M239" s="916"/>
      <c r="N239" s="916">
        <v>1987</v>
      </c>
      <c r="O239" s="912"/>
      <c r="P239" s="916">
        <v>288</v>
      </c>
      <c r="Q239" s="495" t="s">
        <v>2434</v>
      </c>
      <c r="R239" s="902"/>
      <c r="S239" s="972"/>
      <c r="T239" s="936"/>
      <c r="U239" s="936"/>
      <c r="V239" s="927"/>
      <c r="W239" s="927"/>
      <c r="X239" s="927"/>
      <c r="Y239" s="927"/>
      <c r="Z239" s="927"/>
      <c r="AA239" s="927"/>
    </row>
    <row r="240" spans="1:27" s="883" customFormat="1" ht="66.75" customHeight="1">
      <c r="A240" s="495">
        <v>7</v>
      </c>
      <c r="B240" s="937" t="s">
        <v>2952</v>
      </c>
      <c r="C240" s="495" t="s">
        <v>89</v>
      </c>
      <c r="D240" s="1002">
        <v>8047637</v>
      </c>
      <c r="E240" s="495" t="s">
        <v>2934</v>
      </c>
      <c r="F240" s="408" t="s">
        <v>2953</v>
      </c>
      <c r="G240" s="495" t="s">
        <v>1259</v>
      </c>
      <c r="H240" s="495" t="s">
        <v>1480</v>
      </c>
      <c r="I240" s="495" t="s">
        <v>2954</v>
      </c>
      <c r="J240" s="912">
        <v>1398</v>
      </c>
      <c r="K240" s="912">
        <f t="shared" si="38"/>
        <v>699</v>
      </c>
      <c r="L240" s="906">
        <v>786</v>
      </c>
      <c r="M240" s="916">
        <v>700</v>
      </c>
      <c r="N240" s="916">
        <v>699</v>
      </c>
      <c r="O240" s="912"/>
      <c r="P240" s="916">
        <v>87</v>
      </c>
      <c r="Q240" s="495" t="s">
        <v>2434</v>
      </c>
      <c r="R240" s="902"/>
      <c r="S240" s="972"/>
      <c r="T240" s="936"/>
      <c r="U240" s="936"/>
      <c r="V240" s="927"/>
      <c r="W240" s="927"/>
      <c r="X240" s="927"/>
      <c r="Y240" s="927"/>
      <c r="Z240" s="927"/>
      <c r="AA240" s="927"/>
    </row>
    <row r="241" spans="1:27" s="883" customFormat="1" ht="66.75" customHeight="1">
      <c r="A241" s="495">
        <v>8</v>
      </c>
      <c r="B241" s="937" t="s">
        <v>2955</v>
      </c>
      <c r="C241" s="495" t="s">
        <v>89</v>
      </c>
      <c r="D241" s="403"/>
      <c r="E241" s="495" t="s">
        <v>2934</v>
      </c>
      <c r="F241" s="408" t="s">
        <v>2953</v>
      </c>
      <c r="G241" s="495" t="s">
        <v>1259</v>
      </c>
      <c r="H241" s="495" t="s">
        <v>2956</v>
      </c>
      <c r="I241" s="408"/>
      <c r="J241" s="912">
        <v>5592</v>
      </c>
      <c r="K241" s="912">
        <f t="shared" si="38"/>
        <v>2796</v>
      </c>
      <c r="L241" s="916">
        <v>1620</v>
      </c>
      <c r="M241" s="916"/>
      <c r="N241" s="916">
        <v>2796</v>
      </c>
      <c r="O241" s="912">
        <f>N241-L241</f>
        <v>1176</v>
      </c>
      <c r="P241" s="916"/>
      <c r="Q241" s="942" t="s">
        <v>2566</v>
      </c>
      <c r="R241" s="956"/>
      <c r="S241" s="972"/>
      <c r="T241" s="936"/>
      <c r="U241" s="936"/>
      <c r="V241" s="927"/>
      <c r="W241" s="927"/>
      <c r="X241" s="927"/>
      <c r="Y241" s="927"/>
      <c r="Z241" s="927"/>
      <c r="AA241" s="927"/>
    </row>
    <row r="242" spans="1:27" s="883" customFormat="1" ht="66.75" customHeight="1">
      <c r="A242" s="495">
        <v>9</v>
      </c>
      <c r="B242" s="937" t="s">
        <v>2957</v>
      </c>
      <c r="C242" s="495" t="s">
        <v>89</v>
      </c>
      <c r="D242" s="403"/>
      <c r="E242" s="495" t="s">
        <v>2934</v>
      </c>
      <c r="F242" s="408" t="s">
        <v>2944</v>
      </c>
      <c r="G242" s="495" t="s">
        <v>1266</v>
      </c>
      <c r="H242" s="911" t="s">
        <v>1253</v>
      </c>
      <c r="I242" s="408"/>
      <c r="J242" s="912">
        <v>1495</v>
      </c>
      <c r="K242" s="912">
        <f t="shared" si="38"/>
        <v>747.5</v>
      </c>
      <c r="L242" s="916"/>
      <c r="M242" s="916"/>
      <c r="N242" s="916">
        <v>385</v>
      </c>
      <c r="O242" s="912">
        <v>385</v>
      </c>
      <c r="P242" s="916"/>
      <c r="Q242" s="942" t="s">
        <v>2958</v>
      </c>
      <c r="R242" s="956"/>
      <c r="S242" s="972"/>
      <c r="T242" s="936"/>
      <c r="U242" s="936"/>
      <c r="V242" s="927"/>
      <c r="W242" s="927"/>
      <c r="X242" s="927"/>
      <c r="Y242" s="927"/>
      <c r="Z242" s="927"/>
      <c r="AA242" s="927"/>
    </row>
    <row r="243" spans="1:27" s="883" customFormat="1" ht="57" customHeight="1">
      <c r="A243" s="894" t="s">
        <v>487</v>
      </c>
      <c r="B243" s="1061" t="s">
        <v>2959</v>
      </c>
      <c r="C243" s="495"/>
      <c r="D243" s="1195"/>
      <c r="E243" s="894"/>
      <c r="F243" s="1062"/>
      <c r="G243" s="894"/>
      <c r="H243" s="894"/>
      <c r="I243" s="894"/>
      <c r="J243" s="1195"/>
      <c r="K243" s="897"/>
      <c r="L243" s="1014">
        <f>L244</f>
        <v>10000</v>
      </c>
      <c r="M243" s="916">
        <v>1000</v>
      </c>
      <c r="N243" s="1014">
        <f t="shared" ref="N243" si="39">N244</f>
        <v>10000</v>
      </c>
      <c r="O243" s="1063"/>
      <c r="P243" s="1064"/>
      <c r="Q243" s="408"/>
      <c r="R243" s="917"/>
      <c r="S243" s="972"/>
      <c r="T243" s="936"/>
      <c r="U243" s="936"/>
      <c r="V243" s="927"/>
      <c r="W243" s="927"/>
      <c r="X243" s="927"/>
      <c r="Y243" s="927"/>
      <c r="Z243" s="927"/>
      <c r="AA243" s="927"/>
    </row>
    <row r="244" spans="1:27" ht="69" customHeight="1">
      <c r="A244" s="911" t="s">
        <v>575</v>
      </c>
      <c r="B244" s="937" t="s">
        <v>2960</v>
      </c>
      <c r="C244" s="495" t="s">
        <v>89</v>
      </c>
      <c r="D244" s="403"/>
      <c r="E244" s="495" t="s">
        <v>716</v>
      </c>
      <c r="F244" s="408"/>
      <c r="G244" s="495"/>
      <c r="H244" s="495"/>
      <c r="I244" s="403"/>
      <c r="J244" s="912"/>
      <c r="K244" s="912"/>
      <c r="L244" s="916">
        <v>10000</v>
      </c>
      <c r="M244" s="916">
        <v>1000</v>
      </c>
      <c r="N244" s="916">
        <v>10000</v>
      </c>
      <c r="O244" s="906"/>
      <c r="P244" s="916"/>
      <c r="Q244" s="1065"/>
      <c r="R244" s="1066"/>
    </row>
    <row r="245" spans="1:27" ht="55.5" customHeight="1">
      <c r="A245" s="1379" t="s">
        <v>2961</v>
      </c>
      <c r="B245" s="1380"/>
      <c r="C245" s="1380"/>
      <c r="D245" s="1380"/>
      <c r="E245" s="1380"/>
      <c r="F245" s="1380"/>
      <c r="G245" s="1380"/>
      <c r="H245" s="1380"/>
      <c r="I245" s="1380"/>
      <c r="J245" s="1380"/>
      <c r="K245" s="1380"/>
      <c r="L245" s="1380"/>
      <c r="M245" s="1380"/>
      <c r="N245" s="1380"/>
      <c r="O245" s="1380"/>
      <c r="P245" s="1380"/>
      <c r="Q245" s="1380"/>
      <c r="R245" s="1067"/>
    </row>
  </sheetData>
  <mergeCells count="23">
    <mergeCell ref="A1:Q1"/>
    <mergeCell ref="A2:Q2"/>
    <mergeCell ref="A3:Q3"/>
    <mergeCell ref="K4:Q4"/>
    <mergeCell ref="A5:A7"/>
    <mergeCell ref="B5:B7"/>
    <mergeCell ref="C5:C7"/>
    <mergeCell ref="D5:D7"/>
    <mergeCell ref="E5:E7"/>
    <mergeCell ref="F5:F7"/>
    <mergeCell ref="N6:N7"/>
    <mergeCell ref="O6:P6"/>
    <mergeCell ref="A245:Q245"/>
    <mergeCell ref="L5:L7"/>
    <mergeCell ref="G5:G7"/>
    <mergeCell ref="H5:H7"/>
    <mergeCell ref="I5:K5"/>
    <mergeCell ref="M5:M7"/>
    <mergeCell ref="N5:P5"/>
    <mergeCell ref="Q5:Q7"/>
    <mergeCell ref="I6:I7"/>
    <mergeCell ref="J6:J7"/>
    <mergeCell ref="K6:K7"/>
  </mergeCell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239"/>
  <sheetViews>
    <sheetView zoomScale="60" zoomScaleNormal="60" workbookViewId="0">
      <selection sqref="A1:XFD1048576"/>
    </sheetView>
  </sheetViews>
  <sheetFormatPr defaultColWidth="9.140625" defaultRowHeight="18.75"/>
  <cols>
    <col min="1" max="1" width="6.85546875" style="1186" customWidth="1"/>
    <col min="2" max="2" width="48.28515625" style="1084" customWidth="1"/>
    <col min="3" max="3" width="12.85546875" style="1084" customWidth="1"/>
    <col min="4" max="4" width="12.5703125" style="1186" customWidth="1"/>
    <col min="5" max="5" width="17.5703125" style="1084" customWidth="1"/>
    <col min="6" max="6" width="18.5703125" style="1186" customWidth="1"/>
    <col min="7" max="7" width="14.7109375" style="1186" hidden="1" customWidth="1"/>
    <col min="8" max="8" width="12.7109375" style="1186" customWidth="1"/>
    <col min="9" max="9" width="25.7109375" style="1186" customWidth="1"/>
    <col min="10" max="10" width="19.85546875" style="1187" customWidth="1"/>
    <col min="11" max="11" width="18.140625" style="1188" customWidth="1"/>
    <col min="12" max="12" width="22.5703125" style="1188" customWidth="1"/>
    <col min="13" max="13" width="17.28515625" style="1188" customWidth="1"/>
    <col min="14" max="14" width="20.42578125" style="1188" customWidth="1"/>
    <col min="15" max="16" width="17.5703125" style="1188" customWidth="1"/>
    <col min="17" max="17" width="27.28515625" style="1186" customWidth="1"/>
    <col min="18" max="18" width="19.28515625" style="1084" customWidth="1"/>
    <col min="19" max="19" width="18.140625" style="1084" customWidth="1"/>
    <col min="20" max="20" width="18.7109375" style="1084" customWidth="1"/>
    <col min="21" max="16384" width="9.140625" style="1084"/>
  </cols>
  <sheetData>
    <row r="1" spans="1:20" s="284" customFormat="1" ht="23.25" customHeight="1">
      <c r="A1" s="1409" t="s">
        <v>3244</v>
      </c>
      <c r="B1" s="1409"/>
      <c r="C1" s="1409"/>
      <c r="D1" s="1409"/>
      <c r="E1" s="1409"/>
      <c r="F1" s="1409"/>
      <c r="G1" s="1409"/>
      <c r="H1" s="1409"/>
      <c r="I1" s="1409"/>
      <c r="J1" s="1409"/>
      <c r="K1" s="1409"/>
      <c r="L1" s="1409"/>
      <c r="M1" s="1409"/>
      <c r="N1" s="1409"/>
      <c r="O1" s="1409"/>
      <c r="P1" s="1409"/>
      <c r="Q1" s="1409"/>
    </row>
    <row r="2" spans="1:20" s="284" customFormat="1" ht="51.75" customHeight="1">
      <c r="A2" s="1290" t="s">
        <v>2966</v>
      </c>
      <c r="B2" s="1290"/>
      <c r="C2" s="1290"/>
      <c r="D2" s="1290"/>
      <c r="E2" s="1290"/>
      <c r="F2" s="1290"/>
      <c r="G2" s="1290"/>
      <c r="H2" s="1290"/>
      <c r="I2" s="1290"/>
      <c r="J2" s="1290"/>
      <c r="K2" s="1290"/>
      <c r="L2" s="1290"/>
      <c r="M2" s="1290"/>
      <c r="N2" s="1290"/>
      <c r="O2" s="1290"/>
      <c r="P2" s="1290"/>
      <c r="Q2" s="1290"/>
    </row>
    <row r="3" spans="1:20" s="284" customFormat="1" ht="22.5" customHeight="1">
      <c r="A3" s="1410" t="s">
        <v>2967</v>
      </c>
      <c r="B3" s="1410"/>
      <c r="C3" s="1410"/>
      <c r="D3" s="1410"/>
      <c r="E3" s="1410"/>
      <c r="F3" s="1410"/>
      <c r="G3" s="1410"/>
      <c r="H3" s="1410"/>
      <c r="I3" s="1410"/>
      <c r="J3" s="1410"/>
      <c r="K3" s="1410"/>
      <c r="L3" s="1410"/>
      <c r="M3" s="1410"/>
      <c r="N3" s="1410"/>
      <c r="O3" s="1410"/>
      <c r="P3" s="1410"/>
      <c r="Q3" s="1410"/>
    </row>
    <row r="4" spans="1:20" ht="41.25" customHeight="1">
      <c r="A4" s="1079"/>
      <c r="B4" s="1080"/>
      <c r="C4" s="1080"/>
      <c r="D4" s="1081"/>
      <c r="E4" s="1080"/>
      <c r="F4" s="1081"/>
      <c r="G4" s="1081"/>
      <c r="H4" s="1081"/>
      <c r="I4" s="1082"/>
      <c r="J4" s="1083"/>
      <c r="K4" s="1411" t="s">
        <v>959</v>
      </c>
      <c r="L4" s="1411"/>
      <c r="M4" s="1411"/>
      <c r="N4" s="1411"/>
      <c r="O4" s="1411"/>
      <c r="P4" s="1411"/>
      <c r="Q4" s="1411"/>
    </row>
    <row r="5" spans="1:20" s="1085" customFormat="1" ht="53.25" customHeight="1">
      <c r="A5" s="1399" t="s">
        <v>7</v>
      </c>
      <c r="B5" s="1399" t="s">
        <v>1229</v>
      </c>
      <c r="C5" s="1399" t="s">
        <v>626</v>
      </c>
      <c r="D5" s="1399" t="s">
        <v>606</v>
      </c>
      <c r="E5" s="1399" t="s">
        <v>1230</v>
      </c>
      <c r="F5" s="1399" t="s">
        <v>1231</v>
      </c>
      <c r="G5" s="1399" t="s">
        <v>215</v>
      </c>
      <c r="H5" s="1399" t="s">
        <v>1233</v>
      </c>
      <c r="I5" s="1400" t="s">
        <v>174</v>
      </c>
      <c r="J5" s="1401"/>
      <c r="K5" s="1402"/>
      <c r="L5" s="1406" t="s">
        <v>3242</v>
      </c>
      <c r="M5" s="1407" t="s">
        <v>2968</v>
      </c>
      <c r="N5" s="1408" t="s">
        <v>1847</v>
      </c>
      <c r="O5" s="1408"/>
      <c r="P5" s="1408"/>
      <c r="Q5" s="1280" t="s">
        <v>2237</v>
      </c>
    </row>
    <row r="6" spans="1:20" s="1085" customFormat="1" ht="30.75" customHeight="1">
      <c r="A6" s="1399"/>
      <c r="B6" s="1399"/>
      <c r="C6" s="1399"/>
      <c r="D6" s="1399"/>
      <c r="E6" s="1399"/>
      <c r="F6" s="1399"/>
      <c r="G6" s="1399"/>
      <c r="H6" s="1399"/>
      <c r="I6" s="1403"/>
      <c r="J6" s="1404"/>
      <c r="K6" s="1405"/>
      <c r="L6" s="1366"/>
      <c r="M6" s="1407"/>
      <c r="N6" s="1394" t="s">
        <v>2420</v>
      </c>
      <c r="O6" s="1396" t="s">
        <v>82</v>
      </c>
      <c r="P6" s="1397"/>
      <c r="Q6" s="1280"/>
    </row>
    <row r="7" spans="1:20" s="1085" customFormat="1" ht="54.75" customHeight="1">
      <c r="A7" s="1399"/>
      <c r="B7" s="1399"/>
      <c r="C7" s="1399"/>
      <c r="D7" s="1399"/>
      <c r="E7" s="1399"/>
      <c r="F7" s="1399"/>
      <c r="G7" s="1399"/>
      <c r="H7" s="1399"/>
      <c r="I7" s="1086" t="s">
        <v>1234</v>
      </c>
      <c r="J7" s="1087" t="s">
        <v>1235</v>
      </c>
      <c r="K7" s="1087" t="s">
        <v>2419</v>
      </c>
      <c r="L7" s="1367"/>
      <c r="M7" s="1407"/>
      <c r="N7" s="1395"/>
      <c r="O7" s="1088" t="s">
        <v>1146</v>
      </c>
      <c r="P7" s="1088" t="s">
        <v>1147</v>
      </c>
      <c r="Q7" s="1280"/>
    </row>
    <row r="8" spans="1:20" s="1089" customFormat="1" ht="33.75" customHeight="1">
      <c r="A8" s="390">
        <v>1</v>
      </c>
      <c r="B8" s="390">
        <v>2</v>
      </c>
      <c r="C8" s="390">
        <v>3</v>
      </c>
      <c r="D8" s="390">
        <v>4</v>
      </c>
      <c r="E8" s="390">
        <v>5</v>
      </c>
      <c r="F8" s="390">
        <v>6</v>
      </c>
      <c r="G8" s="390">
        <v>7</v>
      </c>
      <c r="H8" s="390">
        <v>8</v>
      </c>
      <c r="I8" s="390">
        <v>9</v>
      </c>
      <c r="J8" s="390">
        <v>10</v>
      </c>
      <c r="K8" s="390">
        <v>11</v>
      </c>
      <c r="L8" s="390">
        <v>12</v>
      </c>
      <c r="M8" s="390">
        <v>13</v>
      </c>
      <c r="N8" s="390">
        <v>14</v>
      </c>
      <c r="O8" s="390">
        <v>15</v>
      </c>
      <c r="P8" s="390">
        <v>16</v>
      </c>
      <c r="Q8" s="390">
        <v>17</v>
      </c>
    </row>
    <row r="9" spans="1:20" s="1093" customFormat="1" ht="58.5" customHeight="1">
      <c r="A9" s="1090"/>
      <c r="B9" s="1091" t="s">
        <v>980</v>
      </c>
      <c r="C9" s="1090"/>
      <c r="D9" s="1091"/>
      <c r="E9" s="1090"/>
      <c r="F9" s="1090"/>
      <c r="G9" s="1090"/>
      <c r="H9" s="1090"/>
      <c r="I9" s="1092"/>
      <c r="J9" s="1092">
        <f t="shared" ref="J9:P9" si="0">J10+J72+J98+J177+J187</f>
        <v>417476</v>
      </c>
      <c r="K9" s="1092">
        <f t="shared" si="0"/>
        <v>391732.2</v>
      </c>
      <c r="L9" s="1092">
        <f t="shared" si="0"/>
        <v>334507</v>
      </c>
      <c r="M9" s="1092">
        <f t="shared" si="0"/>
        <v>267089</v>
      </c>
      <c r="N9" s="1092">
        <f t="shared" si="0"/>
        <v>334507</v>
      </c>
      <c r="O9" s="1092">
        <f t="shared" si="0"/>
        <v>22237</v>
      </c>
      <c r="P9" s="1092">
        <f t="shared" si="0"/>
        <v>22237</v>
      </c>
      <c r="Q9" s="1090"/>
      <c r="S9" s="1094"/>
    </row>
    <row r="10" spans="1:20" s="1100" customFormat="1" ht="49.5" customHeight="1">
      <c r="A10" s="1095" t="s">
        <v>95</v>
      </c>
      <c r="B10" s="1096" t="s">
        <v>1436</v>
      </c>
      <c r="C10" s="1096"/>
      <c r="D10" s="1095"/>
      <c r="E10" s="1095"/>
      <c r="F10" s="1095"/>
      <c r="G10" s="1095"/>
      <c r="H10" s="1095"/>
      <c r="I10" s="1097"/>
      <c r="J10" s="1097">
        <f>SUM(J11+J20+J29+J37+J44+J52+J61+J67)</f>
        <v>142867</v>
      </c>
      <c r="K10" s="1097">
        <f>SUM(K11+K20+K29+K37+K44+K52+K61+K67)</f>
        <v>144584.1</v>
      </c>
      <c r="L10" s="1097">
        <f t="shared" ref="L10:P10" si="1">SUM(L11+L20+L29+L37+L44+L52+L61+L67)</f>
        <v>120000</v>
      </c>
      <c r="M10" s="1097">
        <f t="shared" si="1"/>
        <v>91449</v>
      </c>
      <c r="N10" s="1097">
        <f t="shared" si="1"/>
        <v>120000</v>
      </c>
      <c r="O10" s="1097">
        <f t="shared" si="1"/>
        <v>7024</v>
      </c>
      <c r="P10" s="1097">
        <f t="shared" si="1"/>
        <v>7024</v>
      </c>
      <c r="Q10" s="1098"/>
      <c r="R10" s="1099"/>
      <c r="S10" s="1099"/>
      <c r="T10" s="1099"/>
    </row>
    <row r="11" spans="1:20" s="1100" customFormat="1" ht="42" customHeight="1">
      <c r="A11" s="1095"/>
      <c r="B11" s="1101" t="s">
        <v>2969</v>
      </c>
      <c r="C11" s="1096"/>
      <c r="D11" s="1095"/>
      <c r="E11" s="1095"/>
      <c r="F11" s="1095"/>
      <c r="G11" s="1095"/>
      <c r="H11" s="1095"/>
      <c r="I11" s="1097"/>
      <c r="J11" s="1102">
        <f>SUM(J13:J19)</f>
        <v>19641</v>
      </c>
      <c r="K11" s="1102">
        <f t="shared" ref="K11:O11" si="2">SUM(K13:K19)</f>
        <v>17676.900000000001</v>
      </c>
      <c r="L11" s="1102">
        <f t="shared" si="2"/>
        <v>15000</v>
      </c>
      <c r="M11" s="1102">
        <f>SUM(M13:M19)</f>
        <v>10273</v>
      </c>
      <c r="N11" s="1102">
        <f>SUM(N13:N19)</f>
        <v>15000</v>
      </c>
      <c r="O11" s="1102">
        <f t="shared" si="2"/>
        <v>1044</v>
      </c>
      <c r="P11" s="1102">
        <f>SUM(P13:P19)</f>
        <v>1044</v>
      </c>
      <c r="Q11" s="1098"/>
      <c r="R11" s="1099"/>
      <c r="S11" s="1099"/>
    </row>
    <row r="12" spans="1:20" s="1100" customFormat="1" ht="48" customHeight="1">
      <c r="A12" s="1095"/>
      <c r="B12" s="1103" t="s">
        <v>2970</v>
      </c>
      <c r="C12" s="1096"/>
      <c r="D12" s="1095"/>
      <c r="E12" s="1095"/>
      <c r="F12" s="1095"/>
      <c r="G12" s="1095"/>
      <c r="H12" s="1095"/>
      <c r="I12" s="1097"/>
      <c r="J12" s="1102"/>
      <c r="K12" s="1102"/>
      <c r="L12" s="1102"/>
      <c r="M12" s="1102"/>
      <c r="N12" s="1102"/>
      <c r="O12" s="1102"/>
      <c r="P12" s="1102"/>
      <c r="Q12" s="1098"/>
      <c r="R12" s="1099"/>
    </row>
    <row r="13" spans="1:20" s="1108" customFormat="1" ht="88.5" customHeight="1">
      <c r="A13" s="1104">
        <v>1</v>
      </c>
      <c r="B13" s="208" t="s">
        <v>2971</v>
      </c>
      <c r="C13" s="270" t="s">
        <v>89</v>
      </c>
      <c r="D13" s="270">
        <v>7846170</v>
      </c>
      <c r="E13" s="270" t="s">
        <v>1459</v>
      </c>
      <c r="F13" s="270" t="s">
        <v>2969</v>
      </c>
      <c r="G13" s="270" t="s">
        <v>1259</v>
      </c>
      <c r="H13" s="270" t="s">
        <v>661</v>
      </c>
      <c r="I13" s="270" t="s">
        <v>2972</v>
      </c>
      <c r="J13" s="1105">
        <v>1999</v>
      </c>
      <c r="K13" s="1105">
        <f>J13*0.9</f>
        <v>1799.1000000000001</v>
      </c>
      <c r="L13" s="1106">
        <v>595</v>
      </c>
      <c r="M13" s="1106">
        <v>595</v>
      </c>
      <c r="N13" s="1106">
        <v>595</v>
      </c>
      <c r="O13" s="1106">
        <f>N13-L13</f>
        <v>0</v>
      </c>
      <c r="P13" s="1106"/>
      <c r="Q13" s="460"/>
      <c r="R13" s="1107"/>
    </row>
    <row r="14" spans="1:20" s="1108" customFormat="1" ht="46.5" customHeight="1">
      <c r="A14" s="1104"/>
      <c r="B14" s="1103" t="s">
        <v>685</v>
      </c>
      <c r="C14" s="270"/>
      <c r="D14" s="270"/>
      <c r="E14" s="270"/>
      <c r="F14" s="270"/>
      <c r="G14" s="270"/>
      <c r="H14" s="270"/>
      <c r="I14" s="270"/>
      <c r="J14" s="1105"/>
      <c r="K14" s="1105"/>
      <c r="L14" s="1106"/>
      <c r="M14" s="1106"/>
      <c r="N14" s="1106"/>
      <c r="O14" s="1106">
        <f t="shared" ref="O14:O19" si="3">N14-L14</f>
        <v>0</v>
      </c>
      <c r="P14" s="1106">
        <f>L14-N14</f>
        <v>0</v>
      </c>
      <c r="Q14" s="460"/>
      <c r="R14" s="1107"/>
    </row>
    <row r="15" spans="1:20" s="1108" customFormat="1" ht="57" customHeight="1">
      <c r="A15" s="1104">
        <v>2</v>
      </c>
      <c r="B15" s="208" t="s">
        <v>2973</v>
      </c>
      <c r="C15" s="270" t="s">
        <v>89</v>
      </c>
      <c r="D15" s="270">
        <v>7966668</v>
      </c>
      <c r="E15" s="270" t="s">
        <v>1459</v>
      </c>
      <c r="F15" s="270" t="s">
        <v>2969</v>
      </c>
      <c r="G15" s="270" t="s">
        <v>1370</v>
      </c>
      <c r="H15" s="270" t="s">
        <v>673</v>
      </c>
      <c r="I15" s="270" t="s">
        <v>2974</v>
      </c>
      <c r="J15" s="1105">
        <v>1499</v>
      </c>
      <c r="K15" s="1105">
        <f t="shared" ref="K15:K166" si="4">J15*0.9</f>
        <v>1349.1000000000001</v>
      </c>
      <c r="L15" s="1106">
        <v>1349</v>
      </c>
      <c r="M15" s="1106">
        <v>1349</v>
      </c>
      <c r="N15" s="1106">
        <v>1349</v>
      </c>
      <c r="O15" s="1106">
        <f t="shared" si="3"/>
        <v>0</v>
      </c>
      <c r="P15" s="1106">
        <f>L15-N15</f>
        <v>0</v>
      </c>
      <c r="Q15" s="270"/>
    </row>
    <row r="16" spans="1:20" s="1108" customFormat="1" ht="56.25" customHeight="1">
      <c r="A16" s="1104">
        <v>3</v>
      </c>
      <c r="B16" s="201" t="s">
        <v>2975</v>
      </c>
      <c r="C16" s="270" t="s">
        <v>89</v>
      </c>
      <c r="D16" s="1109">
        <v>7970466</v>
      </c>
      <c r="E16" s="270" t="s">
        <v>744</v>
      </c>
      <c r="F16" s="1110" t="s">
        <v>2969</v>
      </c>
      <c r="G16" s="270" t="s">
        <v>1370</v>
      </c>
      <c r="H16" s="270" t="s">
        <v>1318</v>
      </c>
      <c r="I16" s="270" t="s">
        <v>2976</v>
      </c>
      <c r="J16" s="1111">
        <v>5000</v>
      </c>
      <c r="K16" s="1105">
        <f t="shared" si="4"/>
        <v>4500</v>
      </c>
      <c r="L16" s="1106">
        <v>4549</v>
      </c>
      <c r="M16" s="1106">
        <f>4300+26</f>
        <v>4326</v>
      </c>
      <c r="N16" s="1106">
        <v>4326</v>
      </c>
      <c r="O16" s="1106"/>
      <c r="P16" s="1106">
        <f>L16-N16</f>
        <v>223</v>
      </c>
      <c r="Q16" s="1112" t="s">
        <v>2243</v>
      </c>
    </row>
    <row r="17" spans="1:19" s="1115" customFormat="1" ht="60" customHeight="1">
      <c r="A17" s="1104">
        <v>4</v>
      </c>
      <c r="B17" s="208" t="s">
        <v>2977</v>
      </c>
      <c r="C17" s="270" t="s">
        <v>89</v>
      </c>
      <c r="D17" s="270">
        <v>8058053</v>
      </c>
      <c r="E17" s="270" t="s">
        <v>744</v>
      </c>
      <c r="F17" s="1110" t="s">
        <v>1501</v>
      </c>
      <c r="G17" s="270" t="s">
        <v>2978</v>
      </c>
      <c r="H17" s="270" t="s">
        <v>1480</v>
      </c>
      <c r="I17" s="469" t="s">
        <v>2979</v>
      </c>
      <c r="J17" s="1113">
        <v>2089</v>
      </c>
      <c r="K17" s="465">
        <f>J17*0.9</f>
        <v>1880.1000000000001</v>
      </c>
      <c r="L17" s="1114">
        <v>1500</v>
      </c>
      <c r="M17" s="1114">
        <v>750</v>
      </c>
      <c r="N17" s="1114">
        <v>1880</v>
      </c>
      <c r="O17" s="1106">
        <f t="shared" si="3"/>
        <v>380</v>
      </c>
      <c r="P17" s="1106"/>
      <c r="Q17" s="846" t="s">
        <v>2566</v>
      </c>
    </row>
    <row r="18" spans="1:19" s="1116" customFormat="1" ht="56.25" customHeight="1">
      <c r="A18" s="1104">
        <v>5</v>
      </c>
      <c r="B18" s="201" t="s">
        <v>2980</v>
      </c>
      <c r="C18" s="270" t="s">
        <v>89</v>
      </c>
      <c r="D18" s="270">
        <v>8079409</v>
      </c>
      <c r="E18" s="270" t="s">
        <v>744</v>
      </c>
      <c r="F18" s="1110" t="s">
        <v>2969</v>
      </c>
      <c r="G18" s="270" t="s">
        <v>2865</v>
      </c>
      <c r="H18" s="270" t="s">
        <v>1480</v>
      </c>
      <c r="I18" s="469" t="s">
        <v>2981</v>
      </c>
      <c r="J18" s="1113">
        <v>4547</v>
      </c>
      <c r="K18" s="1105">
        <f t="shared" ref="K18:K19" si="5">J18*0.9</f>
        <v>4092.3</v>
      </c>
      <c r="L18" s="1106">
        <v>4500</v>
      </c>
      <c r="M18" s="1106">
        <v>2000</v>
      </c>
      <c r="N18" s="1106">
        <v>3679</v>
      </c>
      <c r="O18" s="1106"/>
      <c r="P18" s="1106">
        <f>L18-N18</f>
        <v>821</v>
      </c>
      <c r="Q18" s="270" t="s">
        <v>2243</v>
      </c>
    </row>
    <row r="19" spans="1:19" s="1116" customFormat="1" ht="56.25">
      <c r="A19" s="1104">
        <v>6</v>
      </c>
      <c r="B19" s="201" t="s">
        <v>2982</v>
      </c>
      <c r="C19" s="270" t="s">
        <v>89</v>
      </c>
      <c r="D19" s="270">
        <v>8079412</v>
      </c>
      <c r="E19" s="270" t="s">
        <v>744</v>
      </c>
      <c r="F19" s="1110" t="s">
        <v>2969</v>
      </c>
      <c r="G19" s="270" t="s">
        <v>2865</v>
      </c>
      <c r="H19" s="270" t="s">
        <v>1480</v>
      </c>
      <c r="I19" s="469" t="s">
        <v>2983</v>
      </c>
      <c r="J19" s="1113">
        <v>4507</v>
      </c>
      <c r="K19" s="1105">
        <f t="shared" si="5"/>
        <v>4056.3</v>
      </c>
      <c r="L19" s="1106">
        <v>2507</v>
      </c>
      <c r="M19" s="1106">
        <v>1253</v>
      </c>
      <c r="N19" s="1106">
        <v>3171</v>
      </c>
      <c r="O19" s="1106">
        <f t="shared" si="3"/>
        <v>664</v>
      </c>
      <c r="P19" s="1106"/>
      <c r="Q19" s="270" t="s">
        <v>2566</v>
      </c>
      <c r="R19" s="1117"/>
    </row>
    <row r="20" spans="1:19" s="1108" customFormat="1" ht="34.5" customHeight="1">
      <c r="A20" s="1104"/>
      <c r="B20" s="1118" t="s">
        <v>1515</v>
      </c>
      <c r="C20" s="270"/>
      <c r="D20" s="270"/>
      <c r="E20" s="270"/>
      <c r="F20" s="270"/>
      <c r="G20" s="270"/>
      <c r="H20" s="270"/>
      <c r="I20" s="270"/>
      <c r="J20" s="1119">
        <f>SUM(J22:J28)</f>
        <v>18700</v>
      </c>
      <c r="K20" s="1119">
        <f t="shared" ref="K20:P20" si="6">SUM(K22:K28)</f>
        <v>16830</v>
      </c>
      <c r="L20" s="1119">
        <f t="shared" si="6"/>
        <v>15000</v>
      </c>
      <c r="M20" s="1119">
        <f t="shared" si="6"/>
        <v>9134</v>
      </c>
      <c r="N20" s="1119">
        <f t="shared" si="6"/>
        <v>15000</v>
      </c>
      <c r="O20" s="1119">
        <f t="shared" si="6"/>
        <v>2073</v>
      </c>
      <c r="P20" s="1119">
        <f t="shared" si="6"/>
        <v>2073</v>
      </c>
      <c r="Q20" s="1112"/>
    </row>
    <row r="21" spans="1:19" s="1108" customFormat="1" ht="48.75" customHeight="1">
      <c r="A21" s="1104"/>
      <c r="B21" s="1103" t="s">
        <v>685</v>
      </c>
      <c r="C21" s="270"/>
      <c r="D21" s="270"/>
      <c r="E21" s="270"/>
      <c r="F21" s="270"/>
      <c r="G21" s="270"/>
      <c r="H21" s="270"/>
      <c r="I21" s="270"/>
      <c r="J21" s="1119"/>
      <c r="K21" s="1119"/>
      <c r="L21" s="1119"/>
      <c r="M21" s="1119"/>
      <c r="N21" s="1119"/>
      <c r="O21" s="1106">
        <f>N21-L21</f>
        <v>0</v>
      </c>
      <c r="P21" s="1106">
        <f>L21-N21</f>
        <v>0</v>
      </c>
      <c r="Q21" s="1112"/>
      <c r="S21" s="1120"/>
    </row>
    <row r="22" spans="1:19" s="1108" customFormat="1" ht="67.5" customHeight="1">
      <c r="A22" s="1104">
        <v>1</v>
      </c>
      <c r="B22" s="208" t="s">
        <v>2984</v>
      </c>
      <c r="C22" s="270" t="s">
        <v>89</v>
      </c>
      <c r="D22" s="270">
        <v>7974989</v>
      </c>
      <c r="E22" s="270" t="s">
        <v>1455</v>
      </c>
      <c r="F22" s="270" t="s">
        <v>1515</v>
      </c>
      <c r="G22" s="270" t="s">
        <v>1370</v>
      </c>
      <c r="H22" s="270" t="s">
        <v>673</v>
      </c>
      <c r="I22" s="270" t="s">
        <v>2985</v>
      </c>
      <c r="J22" s="1105">
        <v>2438</v>
      </c>
      <c r="K22" s="1105">
        <f t="shared" si="4"/>
        <v>2194.2000000000003</v>
      </c>
      <c r="L22" s="1106">
        <v>2110</v>
      </c>
      <c r="M22" s="1106">
        <f>1800+93</f>
        <v>1893</v>
      </c>
      <c r="N22" s="1106">
        <v>1893</v>
      </c>
      <c r="O22" s="1106"/>
      <c r="P22" s="1106">
        <f>L22-N22</f>
        <v>217</v>
      </c>
      <c r="Q22" s="1112" t="s">
        <v>2243</v>
      </c>
    </row>
    <row r="23" spans="1:19" s="1108" customFormat="1" ht="50.25" customHeight="1">
      <c r="A23" s="1104">
        <v>2</v>
      </c>
      <c r="B23" s="201" t="s">
        <v>2986</v>
      </c>
      <c r="C23" s="270" t="s">
        <v>89</v>
      </c>
      <c r="D23" s="270">
        <v>7965269</v>
      </c>
      <c r="E23" s="270" t="s">
        <v>744</v>
      </c>
      <c r="F23" s="1110" t="s">
        <v>1515</v>
      </c>
      <c r="G23" s="270" t="s">
        <v>1368</v>
      </c>
      <c r="H23" s="270" t="s">
        <v>1318</v>
      </c>
      <c r="I23" s="270" t="s">
        <v>2987</v>
      </c>
      <c r="J23" s="1105">
        <v>4800</v>
      </c>
      <c r="K23" s="1105">
        <f t="shared" si="4"/>
        <v>4320</v>
      </c>
      <c r="L23" s="1121">
        <v>4197</v>
      </c>
      <c r="M23" s="1121">
        <f>2500+298</f>
        <v>2798</v>
      </c>
      <c r="N23" s="1121">
        <v>2798</v>
      </c>
      <c r="O23" s="1106"/>
      <c r="P23" s="1106">
        <f>L23-N23</f>
        <v>1399</v>
      </c>
      <c r="Q23" s="1112" t="s">
        <v>2243</v>
      </c>
    </row>
    <row r="24" spans="1:19" s="1126" customFormat="1" ht="54" customHeight="1">
      <c r="A24" s="1104">
        <v>3</v>
      </c>
      <c r="B24" s="1122" t="s">
        <v>2988</v>
      </c>
      <c r="C24" s="270" t="s">
        <v>89</v>
      </c>
      <c r="D24" s="270">
        <v>8079410</v>
      </c>
      <c r="E24" s="270" t="s">
        <v>744</v>
      </c>
      <c r="F24" s="1110" t="s">
        <v>1515</v>
      </c>
      <c r="G24" s="1123" t="s">
        <v>1259</v>
      </c>
      <c r="H24" s="270" t="s">
        <v>1480</v>
      </c>
      <c r="I24" s="270" t="s">
        <v>2989</v>
      </c>
      <c r="J24" s="1113">
        <v>823</v>
      </c>
      <c r="K24" s="1124">
        <f>J24*0.9</f>
        <v>740.7</v>
      </c>
      <c r="L24" s="1125">
        <v>810</v>
      </c>
      <c r="M24" s="1125">
        <v>741</v>
      </c>
      <c r="N24" s="1125">
        <v>741</v>
      </c>
      <c r="O24" s="1106"/>
      <c r="P24" s="1106">
        <f>L24-N24</f>
        <v>69</v>
      </c>
      <c r="Q24" s="270" t="s">
        <v>2990</v>
      </c>
    </row>
    <row r="25" spans="1:19" s="1115" customFormat="1" ht="54" customHeight="1">
      <c r="A25" s="1127">
        <v>4</v>
      </c>
      <c r="B25" s="208" t="s">
        <v>2991</v>
      </c>
      <c r="C25" s="270" t="s">
        <v>89</v>
      </c>
      <c r="D25" s="270">
        <v>8069961</v>
      </c>
      <c r="E25" s="270" t="s">
        <v>744</v>
      </c>
      <c r="F25" s="270" t="s">
        <v>1515</v>
      </c>
      <c r="G25" s="270" t="s">
        <v>2992</v>
      </c>
      <c r="H25" s="270" t="s">
        <v>1480</v>
      </c>
      <c r="I25" s="270" t="s">
        <v>2993</v>
      </c>
      <c r="J25" s="1113">
        <v>5900</v>
      </c>
      <c r="K25" s="465">
        <f>J25*0.9</f>
        <v>5310</v>
      </c>
      <c r="L25" s="1128">
        <v>4130</v>
      </c>
      <c r="M25" s="1128">
        <v>1800</v>
      </c>
      <c r="N25" s="1128">
        <v>5310</v>
      </c>
      <c r="O25" s="1106">
        <f t="shared" ref="O25:O28" si="7">N25-L25</f>
        <v>1180</v>
      </c>
      <c r="P25" s="1106"/>
      <c r="Q25" s="1129" t="s">
        <v>2566</v>
      </c>
    </row>
    <row r="26" spans="1:19" s="1126" customFormat="1" ht="37.5">
      <c r="A26" s="1104">
        <v>5</v>
      </c>
      <c r="B26" s="1122" t="s">
        <v>2994</v>
      </c>
      <c r="C26" s="270" t="s">
        <v>89</v>
      </c>
      <c r="D26" s="270">
        <v>8079411</v>
      </c>
      <c r="E26" s="270" t="s">
        <v>744</v>
      </c>
      <c r="F26" s="1110" t="s">
        <v>1515</v>
      </c>
      <c r="G26" s="1123" t="s">
        <v>1266</v>
      </c>
      <c r="H26" s="270" t="s">
        <v>1480</v>
      </c>
      <c r="I26" s="270" t="s">
        <v>2995</v>
      </c>
      <c r="J26" s="1113">
        <v>973</v>
      </c>
      <c r="K26" s="1124">
        <f>J26*0.9</f>
        <v>875.7</v>
      </c>
      <c r="L26" s="1125">
        <v>1242</v>
      </c>
      <c r="M26" s="1125">
        <v>833</v>
      </c>
      <c r="N26" s="1125">
        <v>876</v>
      </c>
      <c r="O26" s="1106"/>
      <c r="P26" s="1106">
        <f>L26-N26</f>
        <v>366</v>
      </c>
      <c r="Q26" s="270" t="s">
        <v>2990</v>
      </c>
    </row>
    <row r="27" spans="1:19" s="1126" customFormat="1" ht="37.5">
      <c r="A27" s="1104">
        <v>6</v>
      </c>
      <c r="B27" s="1122" t="s">
        <v>2996</v>
      </c>
      <c r="C27" s="270" t="s">
        <v>89</v>
      </c>
      <c r="D27" s="270">
        <v>8079414</v>
      </c>
      <c r="E27" s="270" t="s">
        <v>744</v>
      </c>
      <c r="F27" s="1110" t="s">
        <v>1515</v>
      </c>
      <c r="G27" s="1123" t="s">
        <v>1259</v>
      </c>
      <c r="H27" s="270" t="s">
        <v>1480</v>
      </c>
      <c r="I27" s="270" t="s">
        <v>2997</v>
      </c>
      <c r="J27" s="1113">
        <v>2766</v>
      </c>
      <c r="K27" s="1124">
        <f>J27*0.9</f>
        <v>2489.4</v>
      </c>
      <c r="L27" s="1125">
        <v>2511</v>
      </c>
      <c r="M27" s="1125">
        <v>1069</v>
      </c>
      <c r="N27" s="1125">
        <v>2489</v>
      </c>
      <c r="O27" s="1106"/>
      <c r="P27" s="1106">
        <f>L27-N27</f>
        <v>22</v>
      </c>
      <c r="Q27" s="270" t="s">
        <v>2566</v>
      </c>
    </row>
    <row r="28" spans="1:19" s="1126" customFormat="1" ht="67.5" customHeight="1">
      <c r="A28" s="1104">
        <v>7</v>
      </c>
      <c r="B28" s="1122" t="s">
        <v>2998</v>
      </c>
      <c r="C28" s="270" t="s">
        <v>89</v>
      </c>
      <c r="D28" s="270">
        <v>8079414</v>
      </c>
      <c r="E28" s="270" t="s">
        <v>744</v>
      </c>
      <c r="F28" s="1110" t="s">
        <v>1515</v>
      </c>
      <c r="G28" s="1123" t="s">
        <v>1259</v>
      </c>
      <c r="H28" s="270" t="s">
        <v>2956</v>
      </c>
      <c r="I28" s="270"/>
      <c r="J28" s="1113">
        <v>1000</v>
      </c>
      <c r="K28" s="1124">
        <f>J28*0.9</f>
        <v>900</v>
      </c>
      <c r="L28" s="1125"/>
      <c r="M28" s="1125"/>
      <c r="N28" s="1125">
        <v>893</v>
      </c>
      <c r="O28" s="1106">
        <f t="shared" si="7"/>
        <v>893</v>
      </c>
      <c r="P28" s="1106"/>
      <c r="Q28" s="270" t="s">
        <v>2385</v>
      </c>
    </row>
    <row r="29" spans="1:19" s="1108" customFormat="1" ht="38.25" customHeight="1">
      <c r="A29" s="1104"/>
      <c r="B29" s="1130" t="s">
        <v>1483</v>
      </c>
      <c r="C29" s="270"/>
      <c r="D29" s="270"/>
      <c r="E29" s="270"/>
      <c r="F29" s="270"/>
      <c r="G29" s="270"/>
      <c r="H29" s="270"/>
      <c r="I29" s="469"/>
      <c r="J29" s="1113"/>
      <c r="K29" s="1119">
        <f>SUM(K31:K36)</f>
        <v>16003.8</v>
      </c>
      <c r="L29" s="1119">
        <f t="shared" ref="L29:P29" si="8">SUM(L31:L36)</f>
        <v>15000</v>
      </c>
      <c r="M29" s="1119">
        <f t="shared" si="8"/>
        <v>15000</v>
      </c>
      <c r="N29" s="1119">
        <f t="shared" si="8"/>
        <v>15000</v>
      </c>
      <c r="O29" s="1119">
        <f t="shared" si="8"/>
        <v>578</v>
      </c>
      <c r="P29" s="1119">
        <f t="shared" si="8"/>
        <v>578</v>
      </c>
      <c r="Q29" s="1112"/>
    </row>
    <row r="30" spans="1:19" s="1108" customFormat="1" ht="47.25" customHeight="1">
      <c r="A30" s="1104"/>
      <c r="B30" s="1103" t="s">
        <v>685</v>
      </c>
      <c r="C30" s="270"/>
      <c r="D30" s="270"/>
      <c r="E30" s="270"/>
      <c r="F30" s="270"/>
      <c r="G30" s="270"/>
      <c r="H30" s="270"/>
      <c r="I30" s="270"/>
      <c r="J30" s="1119"/>
      <c r="K30" s="1119"/>
      <c r="L30" s="1119"/>
      <c r="M30" s="1119"/>
      <c r="N30" s="1119"/>
      <c r="O30" s="1106">
        <f>N30-L30</f>
        <v>0</v>
      </c>
      <c r="P30" s="1106">
        <f>L30-N30</f>
        <v>0</v>
      </c>
      <c r="Q30" s="1112"/>
    </row>
    <row r="31" spans="1:19" s="1108" customFormat="1" ht="37.5">
      <c r="A31" s="1104">
        <v>1</v>
      </c>
      <c r="B31" s="208" t="s">
        <v>2999</v>
      </c>
      <c r="C31" s="270" t="s">
        <v>89</v>
      </c>
      <c r="D31" s="270">
        <v>7970473</v>
      </c>
      <c r="E31" s="1110" t="s">
        <v>3000</v>
      </c>
      <c r="F31" s="1110" t="s">
        <v>1483</v>
      </c>
      <c r="G31" s="270" t="s">
        <v>2865</v>
      </c>
      <c r="H31" s="270" t="s">
        <v>637</v>
      </c>
      <c r="I31" s="270" t="s">
        <v>3001</v>
      </c>
      <c r="J31" s="1105">
        <v>997</v>
      </c>
      <c r="K31" s="1105">
        <f t="shared" si="4"/>
        <v>897.30000000000007</v>
      </c>
      <c r="L31" s="1106">
        <v>897</v>
      </c>
      <c r="M31" s="1106">
        <v>897</v>
      </c>
      <c r="N31" s="1106">
        <v>897</v>
      </c>
      <c r="O31" s="1106">
        <f>N31-L31</f>
        <v>0</v>
      </c>
      <c r="P31" s="1106">
        <f>L31-N31</f>
        <v>0</v>
      </c>
      <c r="Q31" s="1112"/>
    </row>
    <row r="32" spans="1:19" s="1108" customFormat="1" ht="37.5">
      <c r="A32" s="1104">
        <v>2</v>
      </c>
      <c r="B32" s="201" t="s">
        <v>3002</v>
      </c>
      <c r="C32" s="270" t="s">
        <v>89</v>
      </c>
      <c r="D32" s="1109">
        <v>7966090</v>
      </c>
      <c r="E32" s="270" t="s">
        <v>744</v>
      </c>
      <c r="F32" s="1110" t="s">
        <v>1483</v>
      </c>
      <c r="G32" s="270" t="s">
        <v>2865</v>
      </c>
      <c r="H32" s="270" t="s">
        <v>1318</v>
      </c>
      <c r="I32" s="270" t="s">
        <v>3003</v>
      </c>
      <c r="J32" s="1111">
        <v>1553</v>
      </c>
      <c r="K32" s="1105">
        <f t="shared" si="4"/>
        <v>1397.7</v>
      </c>
      <c r="L32" s="1106">
        <v>1398</v>
      </c>
      <c r="M32" s="1106">
        <v>1398</v>
      </c>
      <c r="N32" s="1106">
        <v>1398</v>
      </c>
      <c r="O32" s="1106">
        <f t="shared" ref="O32:O35" si="9">N32-L32</f>
        <v>0</v>
      </c>
      <c r="P32" s="1106">
        <f>L32-N32</f>
        <v>0</v>
      </c>
      <c r="Q32" s="270"/>
    </row>
    <row r="33" spans="1:17" s="1115" customFormat="1" ht="37.5">
      <c r="A33" s="1104">
        <v>3</v>
      </c>
      <c r="B33" s="201" t="s">
        <v>3004</v>
      </c>
      <c r="C33" s="270" t="s">
        <v>89</v>
      </c>
      <c r="D33" s="1109">
        <v>8012944</v>
      </c>
      <c r="E33" s="270" t="s">
        <v>744</v>
      </c>
      <c r="F33" s="1110" t="s">
        <v>1483</v>
      </c>
      <c r="G33" s="270" t="s">
        <v>1259</v>
      </c>
      <c r="H33" s="270" t="s">
        <v>1480</v>
      </c>
      <c r="I33" s="270" t="s">
        <v>3005</v>
      </c>
      <c r="J33" s="1105">
        <v>1200</v>
      </c>
      <c r="K33" s="1105">
        <f>J33*0.9</f>
        <v>1080</v>
      </c>
      <c r="L33" s="1131">
        <v>1080</v>
      </c>
      <c r="M33" s="1131">
        <v>819</v>
      </c>
      <c r="N33" s="1131">
        <v>819</v>
      </c>
      <c r="O33" s="1106"/>
      <c r="P33" s="1106">
        <f>L33-N33</f>
        <v>261</v>
      </c>
      <c r="Q33" s="270" t="s">
        <v>2243</v>
      </c>
    </row>
    <row r="34" spans="1:17" s="1116" customFormat="1" ht="82.5" customHeight="1">
      <c r="A34" s="1104">
        <v>4</v>
      </c>
      <c r="B34" s="201" t="s">
        <v>3006</v>
      </c>
      <c r="C34" s="270" t="s">
        <v>89</v>
      </c>
      <c r="D34" s="464">
        <v>8007866</v>
      </c>
      <c r="E34" s="270" t="s">
        <v>744</v>
      </c>
      <c r="F34" s="1110" t="s">
        <v>1483</v>
      </c>
      <c r="G34" s="201"/>
      <c r="H34" s="270" t="s">
        <v>1480</v>
      </c>
      <c r="I34" s="270" t="s">
        <v>3007</v>
      </c>
      <c r="J34" s="1132">
        <v>1482</v>
      </c>
      <c r="K34" s="1105">
        <f>J34*0.9</f>
        <v>1333.8</v>
      </c>
      <c r="L34" s="1114">
        <v>1334</v>
      </c>
      <c r="M34" s="1114">
        <v>1288</v>
      </c>
      <c r="N34" s="1114">
        <v>1288</v>
      </c>
      <c r="O34" s="1106"/>
      <c r="P34" s="1106">
        <f>L34-N34</f>
        <v>46</v>
      </c>
      <c r="Q34" s="270" t="s">
        <v>2243</v>
      </c>
    </row>
    <row r="35" spans="1:17" s="1115" customFormat="1" ht="56.25">
      <c r="A35" s="1104">
        <v>5</v>
      </c>
      <c r="B35" s="201" t="s">
        <v>3008</v>
      </c>
      <c r="C35" s="270" t="s">
        <v>89</v>
      </c>
      <c r="D35" s="1109">
        <v>8013470</v>
      </c>
      <c r="E35" s="270" t="s">
        <v>744</v>
      </c>
      <c r="F35" s="1110" t="s">
        <v>1483</v>
      </c>
      <c r="G35" s="270" t="s">
        <v>1259</v>
      </c>
      <c r="H35" s="270" t="s">
        <v>1480</v>
      </c>
      <c r="I35" s="270" t="s">
        <v>3009</v>
      </c>
      <c r="J35" s="1111">
        <v>10470</v>
      </c>
      <c r="K35" s="1105">
        <f>J35*0.9</f>
        <v>9423</v>
      </c>
      <c r="L35" s="1131">
        <v>8421</v>
      </c>
      <c r="M35" s="1131">
        <v>8999</v>
      </c>
      <c r="N35" s="1131">
        <v>8999</v>
      </c>
      <c r="O35" s="1106">
        <f t="shared" si="9"/>
        <v>578</v>
      </c>
      <c r="P35" s="1106"/>
      <c r="Q35" s="1112" t="s">
        <v>3010</v>
      </c>
    </row>
    <row r="36" spans="1:17" s="1115" customFormat="1" ht="52.5" customHeight="1">
      <c r="A36" s="1104">
        <v>6</v>
      </c>
      <c r="B36" s="208" t="s">
        <v>3011</v>
      </c>
      <c r="C36" s="270" t="s">
        <v>89</v>
      </c>
      <c r="D36" s="1109">
        <v>8013469</v>
      </c>
      <c r="E36" s="270" t="s">
        <v>744</v>
      </c>
      <c r="F36" s="1110" t="s">
        <v>1483</v>
      </c>
      <c r="G36" s="270" t="s">
        <v>1259</v>
      </c>
      <c r="H36" s="270" t="s">
        <v>1480</v>
      </c>
      <c r="I36" s="270" t="s">
        <v>3012</v>
      </c>
      <c r="J36" s="1105">
        <v>2080</v>
      </c>
      <c r="K36" s="1105">
        <f>J36*0.9</f>
        <v>1872</v>
      </c>
      <c r="L36" s="1131">
        <v>1870</v>
      </c>
      <c r="M36" s="1131">
        <v>1599</v>
      </c>
      <c r="N36" s="1131">
        <v>1599</v>
      </c>
      <c r="O36" s="1106"/>
      <c r="P36" s="1106">
        <f>L36-N36</f>
        <v>271</v>
      </c>
      <c r="Q36" s="1112" t="s">
        <v>2243</v>
      </c>
    </row>
    <row r="37" spans="1:17" s="1100" customFormat="1" ht="34.5" customHeight="1">
      <c r="A37" s="1095"/>
      <c r="B37" s="1133" t="s">
        <v>1512</v>
      </c>
      <c r="C37" s="270"/>
      <c r="D37" s="1134"/>
      <c r="E37" s="1135"/>
      <c r="F37" s="1135"/>
      <c r="G37" s="1134"/>
      <c r="H37" s="1134"/>
      <c r="I37" s="1134"/>
      <c r="J37" s="1119">
        <f t="shared" ref="J37:P37" si="10">SUM(J39:J43)</f>
        <v>17284</v>
      </c>
      <c r="K37" s="1119">
        <f t="shared" si="10"/>
        <v>15555.6</v>
      </c>
      <c r="L37" s="1119">
        <f t="shared" si="10"/>
        <v>15000</v>
      </c>
      <c r="M37" s="1119">
        <f t="shared" si="10"/>
        <v>9435</v>
      </c>
      <c r="N37" s="1119">
        <f t="shared" si="10"/>
        <v>15000</v>
      </c>
      <c r="O37" s="1119">
        <f t="shared" si="10"/>
        <v>496</v>
      </c>
      <c r="P37" s="1119">
        <f t="shared" si="10"/>
        <v>496</v>
      </c>
      <c r="Q37" s="1136"/>
    </row>
    <row r="38" spans="1:17" s="1100" customFormat="1" ht="46.5" customHeight="1">
      <c r="A38" s="1095"/>
      <c r="B38" s="1103" t="s">
        <v>685</v>
      </c>
      <c r="C38" s="270"/>
      <c r="D38" s="1134"/>
      <c r="E38" s="1135"/>
      <c r="F38" s="1135"/>
      <c r="G38" s="1134"/>
      <c r="H38" s="1134"/>
      <c r="I38" s="1134"/>
      <c r="J38" s="1119"/>
      <c r="K38" s="1119"/>
      <c r="L38" s="1119"/>
      <c r="M38" s="1119"/>
      <c r="N38" s="1119"/>
      <c r="O38" s="1106">
        <f>N38-L38</f>
        <v>0</v>
      </c>
      <c r="P38" s="1106">
        <f>L38-N38</f>
        <v>0</v>
      </c>
      <c r="Q38" s="1136"/>
    </row>
    <row r="39" spans="1:17" s="1108" customFormat="1" ht="54.75" customHeight="1">
      <c r="A39" s="1104">
        <v>1</v>
      </c>
      <c r="B39" s="208" t="s">
        <v>3013</v>
      </c>
      <c r="C39" s="270" t="s">
        <v>89</v>
      </c>
      <c r="D39" s="270">
        <v>7879237</v>
      </c>
      <c r="E39" s="1110" t="s">
        <v>3014</v>
      </c>
      <c r="F39" s="1110" t="s">
        <v>1512</v>
      </c>
      <c r="G39" s="270" t="s">
        <v>1266</v>
      </c>
      <c r="H39" s="270" t="s">
        <v>673</v>
      </c>
      <c r="I39" s="270" t="s">
        <v>3015</v>
      </c>
      <c r="J39" s="1105">
        <v>3091</v>
      </c>
      <c r="K39" s="1105">
        <f t="shared" si="4"/>
        <v>2781.9</v>
      </c>
      <c r="L39" s="1106">
        <v>2782</v>
      </c>
      <c r="M39" s="1106">
        <f>2665+117</f>
        <v>2782</v>
      </c>
      <c r="N39" s="1106">
        <v>2782</v>
      </c>
      <c r="O39" s="1106">
        <f>N39-L39</f>
        <v>0</v>
      </c>
      <c r="P39" s="1106">
        <f>L39-N39</f>
        <v>0</v>
      </c>
      <c r="Q39" s="1112"/>
    </row>
    <row r="40" spans="1:17" s="1108" customFormat="1" ht="37.5">
      <c r="A40" s="1104">
        <v>2</v>
      </c>
      <c r="B40" s="208" t="s">
        <v>3016</v>
      </c>
      <c r="C40" s="270" t="s">
        <v>89</v>
      </c>
      <c r="D40" s="1109">
        <v>7964168</v>
      </c>
      <c r="E40" s="270" t="s">
        <v>744</v>
      </c>
      <c r="F40" s="270" t="s">
        <v>1512</v>
      </c>
      <c r="G40" s="270" t="s">
        <v>1370</v>
      </c>
      <c r="H40" s="270" t="s">
        <v>1318</v>
      </c>
      <c r="I40" s="270" t="s">
        <v>3017</v>
      </c>
      <c r="J40" s="1111">
        <v>2170</v>
      </c>
      <c r="K40" s="1105">
        <f t="shared" si="4"/>
        <v>1953</v>
      </c>
      <c r="L40" s="1106">
        <v>1953</v>
      </c>
      <c r="M40" s="1106">
        <v>1953</v>
      </c>
      <c r="N40" s="1106">
        <v>1953</v>
      </c>
      <c r="O40" s="1106">
        <f t="shared" ref="O40:O43" si="11">N40-L40</f>
        <v>0</v>
      </c>
      <c r="P40" s="1106">
        <f>L40-N40</f>
        <v>0</v>
      </c>
      <c r="Q40" s="1112"/>
    </row>
    <row r="41" spans="1:17" s="1115" customFormat="1" ht="37.5">
      <c r="A41" s="1104">
        <v>3</v>
      </c>
      <c r="B41" s="201" t="s">
        <v>3018</v>
      </c>
      <c r="C41" s="270" t="s">
        <v>89</v>
      </c>
      <c r="D41" s="270">
        <v>8059480</v>
      </c>
      <c r="E41" s="270" t="s">
        <v>744</v>
      </c>
      <c r="F41" s="270" t="s">
        <v>1512</v>
      </c>
      <c r="G41" s="270" t="s">
        <v>1370</v>
      </c>
      <c r="H41" s="270" t="s">
        <v>1480</v>
      </c>
      <c r="I41" s="469" t="s">
        <v>3019</v>
      </c>
      <c r="J41" s="1113">
        <v>4934</v>
      </c>
      <c r="K41" s="1105">
        <f>J41*0.9</f>
        <v>4440.6000000000004</v>
      </c>
      <c r="L41" s="1131">
        <v>3836</v>
      </c>
      <c r="M41" s="1131">
        <v>1800</v>
      </c>
      <c r="N41" s="1131">
        <v>4205</v>
      </c>
      <c r="O41" s="1106">
        <f t="shared" si="11"/>
        <v>369</v>
      </c>
      <c r="P41" s="1106"/>
      <c r="Q41" s="270" t="s">
        <v>2566</v>
      </c>
    </row>
    <row r="42" spans="1:17" s="1115" customFormat="1" ht="52.5" customHeight="1">
      <c r="A42" s="1104">
        <v>4</v>
      </c>
      <c r="B42" s="201" t="s">
        <v>3020</v>
      </c>
      <c r="C42" s="270" t="s">
        <v>89</v>
      </c>
      <c r="D42" s="270">
        <v>8079413</v>
      </c>
      <c r="E42" s="270" t="s">
        <v>744</v>
      </c>
      <c r="F42" s="270" t="s">
        <v>1512</v>
      </c>
      <c r="G42" s="270" t="s">
        <v>3021</v>
      </c>
      <c r="H42" s="270" t="s">
        <v>1480</v>
      </c>
      <c r="I42" s="270" t="s">
        <v>3022</v>
      </c>
      <c r="J42" s="1113">
        <v>1660</v>
      </c>
      <c r="K42" s="1105">
        <f>J42*0.9</f>
        <v>1494</v>
      </c>
      <c r="L42" s="1131">
        <v>1929</v>
      </c>
      <c r="M42" s="1131">
        <v>900</v>
      </c>
      <c r="N42" s="1131">
        <v>1433</v>
      </c>
      <c r="O42" s="1106"/>
      <c r="P42" s="1106">
        <f>L42-N42</f>
        <v>496</v>
      </c>
      <c r="Q42" s="1112" t="s">
        <v>2243</v>
      </c>
    </row>
    <row r="43" spans="1:17" s="1115" customFormat="1" ht="69.75" customHeight="1">
      <c r="A43" s="1104">
        <v>5</v>
      </c>
      <c r="B43" s="201" t="s">
        <v>3023</v>
      </c>
      <c r="C43" s="270" t="s">
        <v>89</v>
      </c>
      <c r="D43" s="270">
        <v>8059481</v>
      </c>
      <c r="E43" s="270" t="s">
        <v>744</v>
      </c>
      <c r="F43" s="270" t="s">
        <v>1512</v>
      </c>
      <c r="G43" s="270" t="s">
        <v>1370</v>
      </c>
      <c r="H43" s="270" t="s">
        <v>1480</v>
      </c>
      <c r="I43" s="469" t="s">
        <v>3024</v>
      </c>
      <c r="J43" s="1113">
        <v>5429</v>
      </c>
      <c r="K43" s="1105">
        <f>J43*0.9</f>
        <v>4886.1000000000004</v>
      </c>
      <c r="L43" s="1131">
        <v>4500</v>
      </c>
      <c r="M43" s="1131">
        <v>2000</v>
      </c>
      <c r="N43" s="1131">
        <v>4627</v>
      </c>
      <c r="O43" s="1106">
        <f t="shared" si="11"/>
        <v>127</v>
      </c>
      <c r="P43" s="1106"/>
      <c r="Q43" s="270" t="s">
        <v>2566</v>
      </c>
    </row>
    <row r="44" spans="1:17" s="1108" customFormat="1" ht="34.5" customHeight="1">
      <c r="A44" s="1104"/>
      <c r="B44" s="1133" t="s">
        <v>3025</v>
      </c>
      <c r="C44" s="270"/>
      <c r="D44" s="270"/>
      <c r="E44" s="1110"/>
      <c r="F44" s="1110"/>
      <c r="G44" s="270"/>
      <c r="H44" s="270"/>
      <c r="I44" s="270"/>
      <c r="J44" s="1119">
        <f>SUM(J46:J51)</f>
        <v>24778</v>
      </c>
      <c r="K44" s="1119">
        <f t="shared" ref="K44:P44" si="12">SUM(K46:K51)</f>
        <v>22300.200000000004</v>
      </c>
      <c r="L44" s="1119">
        <f t="shared" si="12"/>
        <v>15000</v>
      </c>
      <c r="M44" s="1119">
        <f t="shared" si="12"/>
        <v>9500</v>
      </c>
      <c r="N44" s="1119">
        <f t="shared" si="12"/>
        <v>15000</v>
      </c>
      <c r="O44" s="1119">
        <f t="shared" si="12"/>
        <v>878</v>
      </c>
      <c r="P44" s="1119">
        <f t="shared" si="12"/>
        <v>878</v>
      </c>
      <c r="Q44" s="1112"/>
    </row>
    <row r="45" spans="1:17" s="1108" customFormat="1" ht="46.5" customHeight="1">
      <c r="A45" s="1104"/>
      <c r="B45" s="1103" t="s">
        <v>685</v>
      </c>
      <c r="C45" s="270"/>
      <c r="D45" s="270"/>
      <c r="E45" s="1110"/>
      <c r="F45" s="1110"/>
      <c r="G45" s="270"/>
      <c r="H45" s="270"/>
      <c r="I45" s="270"/>
      <c r="J45" s="1119"/>
      <c r="K45" s="1119"/>
      <c r="L45" s="1119"/>
      <c r="M45" s="1119"/>
      <c r="N45" s="1119"/>
      <c r="O45" s="1106">
        <f>N45-L45</f>
        <v>0</v>
      </c>
      <c r="P45" s="1106">
        <f>L45-N45</f>
        <v>0</v>
      </c>
      <c r="Q45" s="1112"/>
    </row>
    <row r="46" spans="1:17" s="1108" customFormat="1" ht="47.25" customHeight="1">
      <c r="A46" s="1104">
        <v>1</v>
      </c>
      <c r="B46" s="208" t="s">
        <v>3026</v>
      </c>
      <c r="C46" s="270" t="s">
        <v>89</v>
      </c>
      <c r="D46" s="270">
        <v>7890488</v>
      </c>
      <c r="E46" s="1110" t="s">
        <v>3027</v>
      </c>
      <c r="F46" s="1110" t="s">
        <v>3025</v>
      </c>
      <c r="G46" s="270" t="s">
        <v>1370</v>
      </c>
      <c r="H46" s="270" t="s">
        <v>673</v>
      </c>
      <c r="I46" s="270" t="s">
        <v>3028</v>
      </c>
      <c r="J46" s="1105">
        <v>1222</v>
      </c>
      <c r="K46" s="1105">
        <f t="shared" si="4"/>
        <v>1099.8</v>
      </c>
      <c r="L46" s="1106">
        <v>1100</v>
      </c>
      <c r="M46" s="1106">
        <v>1100</v>
      </c>
      <c r="N46" s="1106">
        <v>1100</v>
      </c>
      <c r="O46" s="1106">
        <f>N46-L46</f>
        <v>0</v>
      </c>
      <c r="P46" s="1106">
        <f>L46-N46</f>
        <v>0</v>
      </c>
      <c r="Q46" s="270"/>
    </row>
    <row r="47" spans="1:17" s="1108" customFormat="1" ht="37.5">
      <c r="A47" s="1104">
        <v>2</v>
      </c>
      <c r="B47" s="208" t="s">
        <v>3029</v>
      </c>
      <c r="C47" s="270" t="s">
        <v>89</v>
      </c>
      <c r="D47" s="1109">
        <v>7965308</v>
      </c>
      <c r="E47" s="270" t="s">
        <v>744</v>
      </c>
      <c r="F47" s="270" t="s">
        <v>3025</v>
      </c>
      <c r="G47" s="270" t="s">
        <v>1370</v>
      </c>
      <c r="H47" s="270" t="s">
        <v>1318</v>
      </c>
      <c r="I47" s="270" t="s">
        <v>3030</v>
      </c>
      <c r="J47" s="1111">
        <v>5800</v>
      </c>
      <c r="K47" s="1105">
        <f t="shared" si="4"/>
        <v>5220</v>
      </c>
      <c r="L47" s="1106">
        <v>5220</v>
      </c>
      <c r="M47" s="1106">
        <f>5100+120</f>
        <v>5220</v>
      </c>
      <c r="N47" s="1106">
        <v>5220</v>
      </c>
      <c r="O47" s="1106">
        <f>N47-L47</f>
        <v>0</v>
      </c>
      <c r="P47" s="1106">
        <f>L47-N47</f>
        <v>0</v>
      </c>
      <c r="Q47" s="270"/>
    </row>
    <row r="48" spans="1:17" s="1115" customFormat="1" ht="65.25" customHeight="1">
      <c r="A48" s="1104">
        <v>3</v>
      </c>
      <c r="B48" s="201" t="s">
        <v>3031</v>
      </c>
      <c r="C48" s="270" t="s">
        <v>89</v>
      </c>
      <c r="D48" s="270">
        <v>8071454</v>
      </c>
      <c r="E48" s="270" t="s">
        <v>744</v>
      </c>
      <c r="F48" s="270" t="s">
        <v>3025</v>
      </c>
      <c r="G48" s="270" t="s">
        <v>1370</v>
      </c>
      <c r="H48" s="270" t="s">
        <v>1480</v>
      </c>
      <c r="I48" s="270" t="s">
        <v>3032</v>
      </c>
      <c r="J48" s="1113">
        <v>1861</v>
      </c>
      <c r="K48" s="1105">
        <f t="shared" si="4"/>
        <v>1674.9</v>
      </c>
      <c r="L48" s="1131">
        <v>2000</v>
      </c>
      <c r="M48" s="1131">
        <v>1000</v>
      </c>
      <c r="N48" s="1131">
        <v>1586</v>
      </c>
      <c r="O48" s="1106"/>
      <c r="P48" s="1106">
        <f>L48-N48</f>
        <v>414</v>
      </c>
      <c r="Q48" s="270" t="s">
        <v>2243</v>
      </c>
    </row>
    <row r="49" spans="1:18" s="1115" customFormat="1" ht="37.5">
      <c r="A49" s="1104">
        <v>4</v>
      </c>
      <c r="B49" s="201" t="s">
        <v>3033</v>
      </c>
      <c r="C49" s="270" t="s">
        <v>89</v>
      </c>
      <c r="D49" s="1137"/>
      <c r="E49" s="270" t="s">
        <v>744</v>
      </c>
      <c r="F49" s="270" t="s">
        <v>3025</v>
      </c>
      <c r="G49" s="270" t="s">
        <v>1370</v>
      </c>
      <c r="H49" s="270" t="s">
        <v>1480</v>
      </c>
      <c r="I49" s="270"/>
      <c r="J49" s="1111">
        <v>7036</v>
      </c>
      <c r="K49" s="1105">
        <f t="shared" si="4"/>
        <v>6332.4000000000005</v>
      </c>
      <c r="L49" s="1131">
        <v>0</v>
      </c>
      <c r="M49" s="1131">
        <v>0</v>
      </c>
      <c r="N49" s="1131"/>
      <c r="O49" s="1106">
        <f>N49-L49</f>
        <v>0</v>
      </c>
      <c r="P49" s="1106">
        <f>L49-N49</f>
        <v>0</v>
      </c>
      <c r="Q49" s="270" t="s">
        <v>3034</v>
      </c>
    </row>
    <row r="50" spans="1:18" s="1115" customFormat="1" ht="56.25" customHeight="1">
      <c r="A50" s="1104">
        <v>5</v>
      </c>
      <c r="B50" s="201" t="s">
        <v>3035</v>
      </c>
      <c r="C50" s="270" t="s">
        <v>89</v>
      </c>
      <c r="D50" s="270">
        <v>8059482</v>
      </c>
      <c r="E50" s="270" t="s">
        <v>744</v>
      </c>
      <c r="F50" s="270" t="s">
        <v>3025</v>
      </c>
      <c r="G50" s="270" t="s">
        <v>1370</v>
      </c>
      <c r="H50" s="270" t="s">
        <v>1480</v>
      </c>
      <c r="I50" s="469" t="s">
        <v>3036</v>
      </c>
      <c r="J50" s="1113">
        <v>1829</v>
      </c>
      <c r="K50" s="1105">
        <f t="shared" si="4"/>
        <v>1646.1000000000001</v>
      </c>
      <c r="L50" s="1131">
        <v>680</v>
      </c>
      <c r="M50" s="1131">
        <v>680</v>
      </c>
      <c r="N50" s="1131">
        <v>1558</v>
      </c>
      <c r="O50" s="1106">
        <f>N50-L50</f>
        <v>878</v>
      </c>
      <c r="P50" s="1106"/>
      <c r="Q50" s="270" t="s">
        <v>2566</v>
      </c>
    </row>
    <row r="51" spans="1:18" s="1115" customFormat="1" ht="37.5">
      <c r="A51" s="1104">
        <v>6</v>
      </c>
      <c r="B51" s="201" t="s">
        <v>3037</v>
      </c>
      <c r="C51" s="270"/>
      <c r="D51" s="270">
        <v>8071812</v>
      </c>
      <c r="E51" s="270" t="s">
        <v>744</v>
      </c>
      <c r="F51" s="270" t="s">
        <v>3025</v>
      </c>
      <c r="G51" s="270" t="s">
        <v>1370</v>
      </c>
      <c r="H51" s="270" t="s">
        <v>3038</v>
      </c>
      <c r="I51" s="270" t="s">
        <v>3039</v>
      </c>
      <c r="J51" s="1113">
        <v>7030</v>
      </c>
      <c r="K51" s="1105">
        <f t="shared" si="4"/>
        <v>6327</v>
      </c>
      <c r="L51" s="1131">
        <v>6000</v>
      </c>
      <c r="M51" s="1131">
        <v>1500</v>
      </c>
      <c r="N51" s="1131">
        <v>5536</v>
      </c>
      <c r="O51" s="1106"/>
      <c r="P51" s="1106">
        <f>L51-N51</f>
        <v>464</v>
      </c>
      <c r="Q51" s="270" t="s">
        <v>2243</v>
      </c>
    </row>
    <row r="52" spans="1:18" s="1108" customFormat="1" ht="36" customHeight="1">
      <c r="A52" s="1104"/>
      <c r="B52" s="1133" t="s">
        <v>1486</v>
      </c>
      <c r="C52" s="270"/>
      <c r="D52" s="1109"/>
      <c r="E52" s="270"/>
      <c r="F52" s="270"/>
      <c r="G52" s="270"/>
      <c r="H52" s="270"/>
      <c r="I52" s="270"/>
      <c r="J52" s="1138">
        <f>SUM(J54:J60)</f>
        <v>26782</v>
      </c>
      <c r="K52" s="1138">
        <f>SUM(K54:K60)</f>
        <v>24103.8</v>
      </c>
      <c r="L52" s="1138">
        <f t="shared" ref="L52:P52" si="13">SUM(L54:L60)</f>
        <v>15000</v>
      </c>
      <c r="M52" s="1138">
        <f t="shared" si="13"/>
        <v>15000</v>
      </c>
      <c r="N52" s="1138">
        <f t="shared" si="13"/>
        <v>15000</v>
      </c>
      <c r="O52" s="1138">
        <f t="shared" si="13"/>
        <v>69</v>
      </c>
      <c r="P52" s="1138">
        <f t="shared" si="13"/>
        <v>69</v>
      </c>
      <c r="Q52" s="1112"/>
    </row>
    <row r="53" spans="1:18" s="1108" customFormat="1" ht="48.75" customHeight="1">
      <c r="A53" s="1104"/>
      <c r="B53" s="1103" t="s">
        <v>685</v>
      </c>
      <c r="C53" s="270"/>
      <c r="D53" s="1109"/>
      <c r="E53" s="270"/>
      <c r="F53" s="270"/>
      <c r="G53" s="270"/>
      <c r="H53" s="270"/>
      <c r="I53" s="270"/>
      <c r="J53" s="1138"/>
      <c r="K53" s="1138"/>
      <c r="L53" s="1138"/>
      <c r="M53" s="1138"/>
      <c r="N53" s="1138"/>
      <c r="O53" s="1106">
        <f>N53-L53</f>
        <v>0</v>
      </c>
      <c r="P53" s="1106">
        <f t="shared" ref="P53:P59" si="14">L53-N53</f>
        <v>0</v>
      </c>
      <c r="Q53" s="1112"/>
    </row>
    <row r="54" spans="1:18" s="1108" customFormat="1" ht="52.5" customHeight="1">
      <c r="A54" s="1104">
        <v>1</v>
      </c>
      <c r="B54" s="208" t="s">
        <v>3040</v>
      </c>
      <c r="C54" s="270" t="s">
        <v>89</v>
      </c>
      <c r="D54" s="270">
        <v>7970469</v>
      </c>
      <c r="E54" s="1110" t="s">
        <v>3041</v>
      </c>
      <c r="F54" s="1110" t="s">
        <v>1486</v>
      </c>
      <c r="G54" s="270" t="s">
        <v>1266</v>
      </c>
      <c r="H54" s="270" t="s">
        <v>637</v>
      </c>
      <c r="I54" s="270" t="s">
        <v>3042</v>
      </c>
      <c r="J54" s="1105">
        <v>1899</v>
      </c>
      <c r="K54" s="1105">
        <f t="shared" si="4"/>
        <v>1709.1000000000001</v>
      </c>
      <c r="L54" s="1106">
        <v>1700</v>
      </c>
      <c r="M54" s="1106">
        <v>1700</v>
      </c>
      <c r="N54" s="1106">
        <v>1700</v>
      </c>
      <c r="O54" s="1106">
        <f>N54-L54</f>
        <v>0</v>
      </c>
      <c r="P54" s="1106">
        <f t="shared" si="14"/>
        <v>0</v>
      </c>
      <c r="Q54" s="1112"/>
    </row>
    <row r="55" spans="1:18" s="1108" customFormat="1" ht="37.5">
      <c r="A55" s="1104">
        <v>2</v>
      </c>
      <c r="B55" s="201" t="s">
        <v>3043</v>
      </c>
      <c r="C55" s="270" t="s">
        <v>89</v>
      </c>
      <c r="D55" s="1109">
        <v>7965307</v>
      </c>
      <c r="E55" s="270" t="s">
        <v>744</v>
      </c>
      <c r="F55" s="1110" t="s">
        <v>1486</v>
      </c>
      <c r="G55" s="270" t="s">
        <v>2865</v>
      </c>
      <c r="H55" s="270" t="s">
        <v>1318</v>
      </c>
      <c r="I55" s="270" t="s">
        <v>3044</v>
      </c>
      <c r="J55" s="1111">
        <v>4000</v>
      </c>
      <c r="K55" s="1105">
        <f t="shared" si="4"/>
        <v>3600</v>
      </c>
      <c r="L55" s="1106">
        <v>3599</v>
      </c>
      <c r="M55" s="1106">
        <v>3599</v>
      </c>
      <c r="N55" s="1106">
        <v>3599</v>
      </c>
      <c r="O55" s="1106">
        <f>N55-L55</f>
        <v>0</v>
      </c>
      <c r="P55" s="1106">
        <f t="shared" si="14"/>
        <v>0</v>
      </c>
      <c r="Q55" s="1112"/>
    </row>
    <row r="56" spans="1:18" s="1116" customFormat="1" ht="57.75" customHeight="1">
      <c r="A56" s="1104">
        <v>3</v>
      </c>
      <c r="B56" s="208" t="s">
        <v>3045</v>
      </c>
      <c r="C56" s="270" t="s">
        <v>89</v>
      </c>
      <c r="D56" s="464">
        <v>8005874</v>
      </c>
      <c r="E56" s="270" t="s">
        <v>744</v>
      </c>
      <c r="F56" s="1110" t="s">
        <v>1486</v>
      </c>
      <c r="G56" s="270" t="s">
        <v>3046</v>
      </c>
      <c r="H56" s="270" t="s">
        <v>1480</v>
      </c>
      <c r="I56" s="270" t="s">
        <v>3047</v>
      </c>
      <c r="J56" s="1132">
        <v>1865</v>
      </c>
      <c r="K56" s="465">
        <f t="shared" si="4"/>
        <v>1678.5</v>
      </c>
      <c r="L56" s="1114">
        <v>1679</v>
      </c>
      <c r="M56" s="1114">
        <v>1677</v>
      </c>
      <c r="N56" s="1114">
        <v>1677</v>
      </c>
      <c r="O56" s="1106"/>
      <c r="P56" s="1106">
        <f t="shared" si="14"/>
        <v>2</v>
      </c>
      <c r="Q56" s="1112" t="s">
        <v>2243</v>
      </c>
    </row>
    <row r="57" spans="1:18" s="1116" customFormat="1" ht="63.75" customHeight="1">
      <c r="A57" s="1104">
        <v>4</v>
      </c>
      <c r="B57" s="201" t="s">
        <v>3048</v>
      </c>
      <c r="C57" s="270" t="s">
        <v>89</v>
      </c>
      <c r="D57" s="464">
        <v>8012943</v>
      </c>
      <c r="E57" s="270" t="s">
        <v>744</v>
      </c>
      <c r="F57" s="1110" t="s">
        <v>1486</v>
      </c>
      <c r="G57" s="270" t="s">
        <v>1341</v>
      </c>
      <c r="H57" s="270" t="s">
        <v>1480</v>
      </c>
      <c r="I57" s="270" t="s">
        <v>3049</v>
      </c>
      <c r="J57" s="1111">
        <v>2519</v>
      </c>
      <c r="K57" s="1105">
        <f t="shared" si="4"/>
        <v>2267.1</v>
      </c>
      <c r="L57" s="467">
        <v>2267</v>
      </c>
      <c r="M57" s="467">
        <v>2200</v>
      </c>
      <c r="N57" s="467">
        <v>2200</v>
      </c>
      <c r="O57" s="1106"/>
      <c r="P57" s="1106">
        <f t="shared" si="14"/>
        <v>67</v>
      </c>
      <c r="Q57" s="1112" t="s">
        <v>2243</v>
      </c>
    </row>
    <row r="58" spans="1:18" s="1116" customFormat="1" ht="37.5">
      <c r="A58" s="1104">
        <v>5</v>
      </c>
      <c r="B58" s="201" t="s">
        <v>3050</v>
      </c>
      <c r="C58" s="270" t="s">
        <v>89</v>
      </c>
      <c r="D58" s="464"/>
      <c r="E58" s="270" t="s">
        <v>744</v>
      </c>
      <c r="F58" s="1110" t="s">
        <v>1486</v>
      </c>
      <c r="G58" s="270" t="s">
        <v>1259</v>
      </c>
      <c r="H58" s="270" t="s">
        <v>1480</v>
      </c>
      <c r="I58" s="270"/>
      <c r="J58" s="1111">
        <v>5000</v>
      </c>
      <c r="K58" s="1105">
        <f t="shared" si="4"/>
        <v>4500</v>
      </c>
      <c r="L58" s="1131"/>
      <c r="M58" s="1131"/>
      <c r="N58" s="1131"/>
      <c r="O58" s="1106">
        <f>N58-L58</f>
        <v>0</v>
      </c>
      <c r="P58" s="1106">
        <f t="shared" si="14"/>
        <v>0</v>
      </c>
      <c r="Q58" s="270" t="s">
        <v>3051</v>
      </c>
    </row>
    <row r="59" spans="1:18" s="1116" customFormat="1" ht="37.5">
      <c r="A59" s="1104">
        <v>6</v>
      </c>
      <c r="B59" s="201" t="s">
        <v>3052</v>
      </c>
      <c r="C59" s="270" t="s">
        <v>89</v>
      </c>
      <c r="D59" s="464"/>
      <c r="E59" s="270" t="s">
        <v>744</v>
      </c>
      <c r="F59" s="1110" t="s">
        <v>1486</v>
      </c>
      <c r="G59" s="270" t="s">
        <v>1259</v>
      </c>
      <c r="H59" s="270" t="s">
        <v>1480</v>
      </c>
      <c r="I59" s="270"/>
      <c r="J59" s="1111">
        <v>3249</v>
      </c>
      <c r="K59" s="1105">
        <f t="shared" si="4"/>
        <v>2924.1</v>
      </c>
      <c r="L59" s="467"/>
      <c r="M59" s="467"/>
      <c r="N59" s="467"/>
      <c r="O59" s="1106">
        <f>N59-L59</f>
        <v>0</v>
      </c>
      <c r="P59" s="1106">
        <f t="shared" si="14"/>
        <v>0</v>
      </c>
      <c r="Q59" s="270" t="s">
        <v>3051</v>
      </c>
    </row>
    <row r="60" spans="1:18" s="1116" customFormat="1" ht="67.5" customHeight="1">
      <c r="A60" s="1104">
        <v>7</v>
      </c>
      <c r="B60" s="201" t="s">
        <v>3053</v>
      </c>
      <c r="C60" s="270" t="s">
        <v>89</v>
      </c>
      <c r="D60" s="270">
        <v>8058051</v>
      </c>
      <c r="E60" s="270" t="s">
        <v>744</v>
      </c>
      <c r="F60" s="1110" t="s">
        <v>1486</v>
      </c>
      <c r="G60" s="270" t="s">
        <v>1341</v>
      </c>
      <c r="H60" s="270" t="s">
        <v>1480</v>
      </c>
      <c r="I60" s="469" t="s">
        <v>3054</v>
      </c>
      <c r="J60" s="1113">
        <v>8250</v>
      </c>
      <c r="K60" s="1105">
        <f t="shared" si="4"/>
        <v>7425</v>
      </c>
      <c r="L60" s="467">
        <v>5755</v>
      </c>
      <c r="M60" s="467">
        <v>5824</v>
      </c>
      <c r="N60" s="467">
        <v>5824</v>
      </c>
      <c r="O60" s="1106">
        <f>N60-L60</f>
        <v>69</v>
      </c>
      <c r="P60" s="1106"/>
      <c r="Q60" s="270" t="s">
        <v>2566</v>
      </c>
      <c r="R60" s="1139"/>
    </row>
    <row r="61" spans="1:18" s="1108" customFormat="1" ht="38.25" customHeight="1">
      <c r="A61" s="1104"/>
      <c r="B61" s="1133" t="s">
        <v>3055</v>
      </c>
      <c r="C61" s="270"/>
      <c r="D61" s="1109"/>
      <c r="E61" s="270"/>
      <c r="F61" s="1110"/>
      <c r="G61" s="270"/>
      <c r="H61" s="270"/>
      <c r="I61" s="270"/>
      <c r="J61" s="1138">
        <f>SUM(J63:J66)</f>
        <v>18795</v>
      </c>
      <c r="K61" s="1138">
        <f t="shared" ref="K61:P61" si="15">SUM(K63:K66)</f>
        <v>16915.5</v>
      </c>
      <c r="L61" s="1138">
        <f t="shared" si="15"/>
        <v>15000</v>
      </c>
      <c r="M61" s="1138">
        <f t="shared" si="15"/>
        <v>9580</v>
      </c>
      <c r="N61" s="1138">
        <f t="shared" si="15"/>
        <v>15263</v>
      </c>
      <c r="O61" s="1138">
        <f t="shared" si="15"/>
        <v>1159</v>
      </c>
      <c r="P61" s="1138">
        <f t="shared" si="15"/>
        <v>896</v>
      </c>
      <c r="Q61" s="1112"/>
      <c r="R61" s="1120"/>
    </row>
    <row r="62" spans="1:18" s="1108" customFormat="1" ht="45" customHeight="1">
      <c r="A62" s="1104"/>
      <c r="B62" s="1103" t="s">
        <v>685</v>
      </c>
      <c r="C62" s="270"/>
      <c r="D62" s="1109"/>
      <c r="E62" s="270"/>
      <c r="F62" s="1110"/>
      <c r="G62" s="270"/>
      <c r="H62" s="270"/>
      <c r="I62" s="270"/>
      <c r="J62" s="1138"/>
      <c r="K62" s="1138"/>
      <c r="L62" s="1138"/>
      <c r="M62" s="1138"/>
      <c r="N62" s="1138"/>
      <c r="O62" s="1106">
        <f>N62-L62</f>
        <v>0</v>
      </c>
      <c r="P62" s="1106">
        <f>L62-N62</f>
        <v>0</v>
      </c>
      <c r="Q62" s="1112"/>
    </row>
    <row r="63" spans="1:18" s="1108" customFormat="1" ht="37.5">
      <c r="A63" s="1104">
        <v>1</v>
      </c>
      <c r="B63" s="201" t="s">
        <v>3056</v>
      </c>
      <c r="C63" s="270" t="s">
        <v>89</v>
      </c>
      <c r="D63" s="1109">
        <v>7965772</v>
      </c>
      <c r="E63" s="270" t="s">
        <v>744</v>
      </c>
      <c r="F63" s="1110" t="s">
        <v>3055</v>
      </c>
      <c r="G63" s="270" t="s">
        <v>1368</v>
      </c>
      <c r="H63" s="270" t="s">
        <v>1318</v>
      </c>
      <c r="I63" s="270" t="s">
        <v>3057</v>
      </c>
      <c r="J63" s="1111">
        <v>5700</v>
      </c>
      <c r="K63" s="1105">
        <f t="shared" si="4"/>
        <v>5130</v>
      </c>
      <c r="L63" s="1106">
        <v>5130</v>
      </c>
      <c r="M63" s="1106">
        <f>4900+230</f>
        <v>5130</v>
      </c>
      <c r="N63" s="1106">
        <v>5130</v>
      </c>
      <c r="O63" s="1106">
        <f>N63-L63</f>
        <v>0</v>
      </c>
      <c r="P63" s="1106">
        <f>L63-N63</f>
        <v>0</v>
      </c>
      <c r="Q63" s="1112"/>
    </row>
    <row r="64" spans="1:18" s="1115" customFormat="1" ht="54" customHeight="1">
      <c r="A64" s="1104">
        <v>2</v>
      </c>
      <c r="B64" s="201" t="s">
        <v>3058</v>
      </c>
      <c r="C64" s="270" t="s">
        <v>89</v>
      </c>
      <c r="D64" s="270">
        <v>8058054</v>
      </c>
      <c r="E64" s="270" t="s">
        <v>744</v>
      </c>
      <c r="F64" s="1110" t="s">
        <v>809</v>
      </c>
      <c r="G64" s="270" t="s">
        <v>3059</v>
      </c>
      <c r="H64" s="270" t="s">
        <v>1480</v>
      </c>
      <c r="I64" s="270" t="s">
        <v>3060</v>
      </c>
      <c r="J64" s="1113">
        <v>2124</v>
      </c>
      <c r="K64" s="1105">
        <f t="shared" si="4"/>
        <v>1911.6000000000001</v>
      </c>
      <c r="L64" s="1131">
        <v>1929</v>
      </c>
      <c r="M64" s="1131">
        <v>950</v>
      </c>
      <c r="N64" s="1131">
        <v>1876</v>
      </c>
      <c r="O64" s="1106"/>
      <c r="P64" s="1106">
        <f>L64-N64</f>
        <v>53</v>
      </c>
      <c r="Q64" s="270" t="s">
        <v>2243</v>
      </c>
    </row>
    <row r="65" spans="1:17" s="1115" customFormat="1" ht="54" customHeight="1">
      <c r="A65" s="1104">
        <v>3</v>
      </c>
      <c r="B65" s="201" t="s">
        <v>3061</v>
      </c>
      <c r="C65" s="270" t="s">
        <v>89</v>
      </c>
      <c r="D65" s="270">
        <v>8058050</v>
      </c>
      <c r="E65" s="270" t="s">
        <v>744</v>
      </c>
      <c r="F65" s="1110" t="s">
        <v>809</v>
      </c>
      <c r="G65" s="270" t="s">
        <v>1259</v>
      </c>
      <c r="H65" s="270" t="s">
        <v>1480</v>
      </c>
      <c r="I65" s="469" t="s">
        <v>3062</v>
      </c>
      <c r="J65" s="1113">
        <v>5316</v>
      </c>
      <c r="K65" s="1105">
        <f t="shared" si="4"/>
        <v>4784.4000000000005</v>
      </c>
      <c r="L65" s="1131">
        <v>4700</v>
      </c>
      <c r="M65" s="1131">
        <v>2000</v>
      </c>
      <c r="N65" s="1131">
        <v>3857</v>
      </c>
      <c r="O65" s="1106"/>
      <c r="P65" s="1106">
        <f>L65-N65</f>
        <v>843</v>
      </c>
      <c r="Q65" s="1104" t="s">
        <v>2243</v>
      </c>
    </row>
    <row r="66" spans="1:17" s="1115" customFormat="1" ht="61.5" customHeight="1">
      <c r="A66" s="1104">
        <v>4</v>
      </c>
      <c r="B66" s="201" t="s">
        <v>3063</v>
      </c>
      <c r="C66" s="270" t="s">
        <v>89</v>
      </c>
      <c r="D66" s="1123">
        <v>8058052</v>
      </c>
      <c r="E66" s="270" t="s">
        <v>744</v>
      </c>
      <c r="F66" s="1110" t="s">
        <v>809</v>
      </c>
      <c r="G66" s="270" t="s">
        <v>1259</v>
      </c>
      <c r="H66" s="270" t="s">
        <v>1480</v>
      </c>
      <c r="I66" s="469" t="s">
        <v>3064</v>
      </c>
      <c r="J66" s="1113">
        <v>5655</v>
      </c>
      <c r="K66" s="1105">
        <f t="shared" si="4"/>
        <v>5089.5</v>
      </c>
      <c r="L66" s="1131">
        <v>3241</v>
      </c>
      <c r="M66" s="1131">
        <v>1500</v>
      </c>
      <c r="N66" s="1131">
        <v>4400</v>
      </c>
      <c r="O66" s="1106">
        <f>N66-L66</f>
        <v>1159</v>
      </c>
      <c r="P66" s="1106"/>
      <c r="Q66" s="1104" t="s">
        <v>2566</v>
      </c>
    </row>
    <row r="67" spans="1:17" s="1108" customFormat="1" ht="43.5" customHeight="1">
      <c r="A67" s="1104"/>
      <c r="B67" s="1133" t="s">
        <v>1509</v>
      </c>
      <c r="C67" s="270"/>
      <c r="D67" s="1109"/>
      <c r="E67" s="270"/>
      <c r="F67" s="1110"/>
      <c r="G67" s="270"/>
      <c r="H67" s="270"/>
      <c r="I67" s="270"/>
      <c r="J67" s="1140">
        <f>SUM(J69:J71)</f>
        <v>16887</v>
      </c>
      <c r="K67" s="1140">
        <f t="shared" ref="K67:P67" si="16">SUM(K69:K71)</f>
        <v>15198.3</v>
      </c>
      <c r="L67" s="1140">
        <f t="shared" si="16"/>
        <v>15000</v>
      </c>
      <c r="M67" s="1140">
        <f t="shared" si="16"/>
        <v>13527</v>
      </c>
      <c r="N67" s="1140">
        <f t="shared" si="16"/>
        <v>14737</v>
      </c>
      <c r="O67" s="1140">
        <f t="shared" si="16"/>
        <v>727</v>
      </c>
      <c r="P67" s="1140">
        <f t="shared" si="16"/>
        <v>990</v>
      </c>
      <c r="Q67" s="1112">
        <f>L67-N67</f>
        <v>263</v>
      </c>
    </row>
    <row r="68" spans="1:17" s="1108" customFormat="1" ht="48.75" customHeight="1">
      <c r="A68" s="1104"/>
      <c r="B68" s="1103" t="s">
        <v>685</v>
      </c>
      <c r="C68" s="270"/>
      <c r="D68" s="1109"/>
      <c r="E68" s="270"/>
      <c r="F68" s="1110"/>
      <c r="G68" s="270"/>
      <c r="H68" s="270"/>
      <c r="I68" s="270"/>
      <c r="J68" s="1140"/>
      <c r="K68" s="1140"/>
      <c r="L68" s="1140"/>
      <c r="M68" s="1140"/>
      <c r="N68" s="1140"/>
      <c r="O68" s="1106">
        <f>N68-L68</f>
        <v>0</v>
      </c>
      <c r="P68" s="1106">
        <f>L68-N68</f>
        <v>0</v>
      </c>
      <c r="Q68" s="270"/>
    </row>
    <row r="69" spans="1:17" s="1108" customFormat="1" ht="48.75" customHeight="1">
      <c r="A69" s="1104">
        <v>1</v>
      </c>
      <c r="B69" s="201" t="s">
        <v>3065</v>
      </c>
      <c r="C69" s="270" t="s">
        <v>89</v>
      </c>
      <c r="D69" s="1109">
        <v>7965773</v>
      </c>
      <c r="E69" s="270" t="s">
        <v>744</v>
      </c>
      <c r="F69" s="1110" t="s">
        <v>1509</v>
      </c>
      <c r="G69" s="270" t="s">
        <v>1370</v>
      </c>
      <c r="H69" s="270" t="s">
        <v>1318</v>
      </c>
      <c r="I69" s="270" t="s">
        <v>3066</v>
      </c>
      <c r="J69" s="1111">
        <v>10930</v>
      </c>
      <c r="K69" s="1105">
        <f t="shared" si="4"/>
        <v>9837</v>
      </c>
      <c r="L69" s="1106">
        <v>9837</v>
      </c>
      <c r="M69" s="1106">
        <f>6700+2676</f>
        <v>9376</v>
      </c>
      <c r="N69" s="1106">
        <v>9376</v>
      </c>
      <c r="O69" s="1106"/>
      <c r="P69" s="1106">
        <f>L69-N69</f>
        <v>461</v>
      </c>
      <c r="Q69" s="270" t="s">
        <v>2243</v>
      </c>
    </row>
    <row r="70" spans="1:17" s="1116" customFormat="1" ht="37.5">
      <c r="A70" s="1104">
        <v>2</v>
      </c>
      <c r="B70" s="201" t="s">
        <v>3067</v>
      </c>
      <c r="C70" s="270" t="s">
        <v>89</v>
      </c>
      <c r="D70" s="1123">
        <v>8082934</v>
      </c>
      <c r="E70" s="270" t="s">
        <v>744</v>
      </c>
      <c r="F70" s="1110" t="s">
        <v>1509</v>
      </c>
      <c r="G70" s="270"/>
      <c r="H70" s="270" t="s">
        <v>1480</v>
      </c>
      <c r="I70" s="270" t="s">
        <v>3068</v>
      </c>
      <c r="J70" s="1113">
        <v>1556</v>
      </c>
      <c r="K70" s="1105">
        <f t="shared" si="4"/>
        <v>1400.4</v>
      </c>
      <c r="L70" s="1131">
        <v>1929</v>
      </c>
      <c r="M70" s="1131">
        <v>950</v>
      </c>
      <c r="N70" s="1131">
        <v>1400</v>
      </c>
      <c r="O70" s="1106"/>
      <c r="P70" s="1106">
        <f>L70-N70</f>
        <v>529</v>
      </c>
      <c r="Q70" s="270" t="s">
        <v>2243</v>
      </c>
    </row>
    <row r="71" spans="1:17" s="1116" customFormat="1" ht="67.5" customHeight="1">
      <c r="A71" s="1104">
        <v>3</v>
      </c>
      <c r="B71" s="201" t="s">
        <v>3069</v>
      </c>
      <c r="C71" s="270" t="s">
        <v>89</v>
      </c>
      <c r="D71" s="1123">
        <v>8058055</v>
      </c>
      <c r="E71" s="270" t="s">
        <v>744</v>
      </c>
      <c r="F71" s="1110" t="s">
        <v>1509</v>
      </c>
      <c r="G71" s="270" t="s">
        <v>1370</v>
      </c>
      <c r="H71" s="270" t="s">
        <v>1480</v>
      </c>
      <c r="I71" s="469" t="s">
        <v>3070</v>
      </c>
      <c r="J71" s="1113">
        <v>4401</v>
      </c>
      <c r="K71" s="1105">
        <f t="shared" si="4"/>
        <v>3960.9</v>
      </c>
      <c r="L71" s="1131">
        <v>3234</v>
      </c>
      <c r="M71" s="1131">
        <v>3201</v>
      </c>
      <c r="N71" s="1131">
        <v>3961</v>
      </c>
      <c r="O71" s="1106">
        <f>N71-L71</f>
        <v>727</v>
      </c>
      <c r="P71" s="1106"/>
      <c r="Q71" s="460" t="s">
        <v>2566</v>
      </c>
    </row>
    <row r="72" spans="1:17" s="1100" customFormat="1" ht="37.5" customHeight="1">
      <c r="A72" s="1095" t="s">
        <v>109</v>
      </c>
      <c r="B72" s="1141" t="s">
        <v>1630</v>
      </c>
      <c r="C72" s="270"/>
      <c r="D72" s="1142"/>
      <c r="E72" s="1142"/>
      <c r="F72" s="1142"/>
      <c r="G72" s="1142"/>
      <c r="H72" s="1134"/>
      <c r="I72" s="1134"/>
      <c r="J72" s="1143">
        <f t="shared" ref="J72:P72" si="17">SUM(J73+J83+J92)</f>
        <v>53754</v>
      </c>
      <c r="K72" s="1143">
        <f t="shared" si="17"/>
        <v>48378.6</v>
      </c>
      <c r="L72" s="1143">
        <f t="shared" si="17"/>
        <v>45000</v>
      </c>
      <c r="M72" s="1143">
        <f t="shared" si="17"/>
        <v>44137</v>
      </c>
      <c r="N72" s="1143">
        <f t="shared" si="17"/>
        <v>45000</v>
      </c>
      <c r="O72" s="1143">
        <f t="shared" si="17"/>
        <v>863</v>
      </c>
      <c r="P72" s="1143">
        <f t="shared" si="17"/>
        <v>863</v>
      </c>
      <c r="Q72" s="1134"/>
    </row>
    <row r="73" spans="1:17" s="1100" customFormat="1" ht="34.5" customHeight="1">
      <c r="A73" s="1095"/>
      <c r="B73" s="1144" t="s">
        <v>3071</v>
      </c>
      <c r="C73" s="270"/>
      <c r="D73" s="1142"/>
      <c r="E73" s="1142"/>
      <c r="F73" s="1145"/>
      <c r="G73" s="1142"/>
      <c r="H73" s="1134"/>
      <c r="I73" s="1134"/>
      <c r="J73" s="1119">
        <f t="shared" ref="J73:P73" si="18">SUM(J75:J82)</f>
        <v>18340</v>
      </c>
      <c r="K73" s="1119">
        <f t="shared" si="18"/>
        <v>16506</v>
      </c>
      <c r="L73" s="1119">
        <f t="shared" si="18"/>
        <v>15000</v>
      </c>
      <c r="M73" s="1119">
        <f t="shared" si="18"/>
        <v>15000</v>
      </c>
      <c r="N73" s="1119">
        <f t="shared" si="18"/>
        <v>15000</v>
      </c>
      <c r="O73" s="1119">
        <f t="shared" si="18"/>
        <v>0</v>
      </c>
      <c r="P73" s="1119">
        <f t="shared" si="18"/>
        <v>0</v>
      </c>
      <c r="Q73" s="1134"/>
    </row>
    <row r="74" spans="1:17" s="1100" customFormat="1" ht="48.75" customHeight="1">
      <c r="A74" s="1095"/>
      <c r="B74" s="1103" t="s">
        <v>2970</v>
      </c>
      <c r="C74" s="270"/>
      <c r="D74" s="1142"/>
      <c r="E74" s="1142"/>
      <c r="F74" s="1145"/>
      <c r="G74" s="1142"/>
      <c r="H74" s="1134"/>
      <c r="I74" s="1134"/>
      <c r="J74" s="1119"/>
      <c r="K74" s="1119"/>
      <c r="L74" s="1140"/>
      <c r="M74" s="1140"/>
      <c r="N74" s="1140"/>
      <c r="O74" s="1119"/>
      <c r="P74" s="1119"/>
      <c r="Q74" s="1134"/>
    </row>
    <row r="75" spans="1:17" s="1116" customFormat="1" ht="81" customHeight="1">
      <c r="A75" s="1104">
        <v>1</v>
      </c>
      <c r="B75" s="1146" t="s">
        <v>3072</v>
      </c>
      <c r="C75" s="270" t="s">
        <v>89</v>
      </c>
      <c r="D75" s="1147">
        <v>7814635</v>
      </c>
      <c r="E75" s="270" t="s">
        <v>3073</v>
      </c>
      <c r="F75" s="1148" t="s">
        <v>3071</v>
      </c>
      <c r="G75" s="846" t="s">
        <v>1266</v>
      </c>
      <c r="H75" s="270" t="s">
        <v>661</v>
      </c>
      <c r="I75" s="469" t="s">
        <v>3074</v>
      </c>
      <c r="J75" s="1149">
        <v>1498</v>
      </c>
      <c r="K75" s="1105">
        <f t="shared" si="4"/>
        <v>1348.2</v>
      </c>
      <c r="L75" s="1150">
        <v>650</v>
      </c>
      <c r="M75" s="1150">
        <v>650</v>
      </c>
      <c r="N75" s="1150">
        <v>650</v>
      </c>
      <c r="O75" s="1106"/>
      <c r="P75" s="1106"/>
      <c r="Q75" s="460"/>
    </row>
    <row r="76" spans="1:17" s="1116" customFormat="1" ht="48.75" customHeight="1">
      <c r="A76" s="1104"/>
      <c r="B76" s="1103" t="s">
        <v>685</v>
      </c>
      <c r="C76" s="270"/>
      <c r="D76" s="1147"/>
      <c r="E76" s="270"/>
      <c r="F76" s="1148"/>
      <c r="G76" s="846"/>
      <c r="H76" s="270"/>
      <c r="I76" s="469"/>
      <c r="J76" s="1149"/>
      <c r="K76" s="1105"/>
      <c r="L76" s="1150"/>
      <c r="M76" s="1150"/>
      <c r="N76" s="1150"/>
      <c r="O76" s="1106">
        <f t="shared" ref="O76:O82" si="19">N76-L76</f>
        <v>0</v>
      </c>
      <c r="P76" s="1106"/>
      <c r="Q76" s="270"/>
    </row>
    <row r="77" spans="1:17" s="1100" customFormat="1" ht="62.25" customHeight="1">
      <c r="A77" s="1104">
        <v>2</v>
      </c>
      <c r="B77" s="1151" t="s">
        <v>3075</v>
      </c>
      <c r="C77" s="270" t="s">
        <v>89</v>
      </c>
      <c r="D77" s="1147">
        <v>7966070</v>
      </c>
      <c r="E77" s="270" t="s">
        <v>3073</v>
      </c>
      <c r="F77" s="270" t="s">
        <v>1684</v>
      </c>
      <c r="G77" s="270" t="s">
        <v>1266</v>
      </c>
      <c r="H77" s="270" t="s">
        <v>637</v>
      </c>
      <c r="I77" s="270" t="s">
        <v>3076</v>
      </c>
      <c r="J77" s="1105">
        <v>2094</v>
      </c>
      <c r="K77" s="1105">
        <f t="shared" si="4"/>
        <v>1884.6000000000001</v>
      </c>
      <c r="L77" s="1106">
        <v>1885</v>
      </c>
      <c r="M77" s="1106">
        <f>1500+385</f>
        <v>1885</v>
      </c>
      <c r="N77" s="1106">
        <v>1885</v>
      </c>
      <c r="O77" s="1106">
        <f t="shared" si="19"/>
        <v>0</v>
      </c>
      <c r="P77" s="1106"/>
      <c r="Q77" s="1134"/>
    </row>
    <row r="78" spans="1:17" s="1108" customFormat="1" ht="51.75" customHeight="1">
      <c r="A78" s="1104">
        <v>3</v>
      </c>
      <c r="B78" s="201" t="s">
        <v>3077</v>
      </c>
      <c r="C78" s="270" t="s">
        <v>89</v>
      </c>
      <c r="D78" s="270">
        <v>7966074</v>
      </c>
      <c r="E78" s="270" t="s">
        <v>823</v>
      </c>
      <c r="F78" s="1110" t="s">
        <v>1684</v>
      </c>
      <c r="G78" s="270"/>
      <c r="H78" s="270" t="s">
        <v>1318</v>
      </c>
      <c r="I78" s="270" t="s">
        <v>3078</v>
      </c>
      <c r="J78" s="1111">
        <v>10500</v>
      </c>
      <c r="K78" s="1105">
        <f t="shared" si="4"/>
        <v>9450</v>
      </c>
      <c r="L78" s="1106">
        <v>8650</v>
      </c>
      <c r="M78" s="1106">
        <f>7906+744</f>
        <v>8650</v>
      </c>
      <c r="N78" s="1106">
        <v>8650</v>
      </c>
      <c r="O78" s="1106">
        <f t="shared" si="19"/>
        <v>0</v>
      </c>
      <c r="P78" s="1106"/>
      <c r="Q78" s="1112"/>
    </row>
    <row r="79" spans="1:17" s="1126" customFormat="1" ht="67.5" customHeight="1">
      <c r="A79" s="1104">
        <v>4</v>
      </c>
      <c r="B79" s="208" t="s">
        <v>3079</v>
      </c>
      <c r="C79" s="270" t="s">
        <v>89</v>
      </c>
      <c r="D79" s="270">
        <v>8012757</v>
      </c>
      <c r="E79" s="270" t="s">
        <v>823</v>
      </c>
      <c r="F79" s="1110" t="s">
        <v>1684</v>
      </c>
      <c r="G79" s="270" t="s">
        <v>3080</v>
      </c>
      <c r="H79" s="270" t="s">
        <v>1480</v>
      </c>
      <c r="I79" s="270" t="s">
        <v>3081</v>
      </c>
      <c r="J79" s="1152">
        <v>970</v>
      </c>
      <c r="K79" s="1105">
        <f t="shared" si="4"/>
        <v>873</v>
      </c>
      <c r="L79" s="1106">
        <v>873</v>
      </c>
      <c r="M79" s="1106">
        <v>873</v>
      </c>
      <c r="N79" s="1106">
        <v>873</v>
      </c>
      <c r="O79" s="1106">
        <f t="shared" si="19"/>
        <v>0</v>
      </c>
      <c r="P79" s="1106"/>
      <c r="Q79" s="1153"/>
    </row>
    <row r="80" spans="1:17" s="1126" customFormat="1" ht="69.75" customHeight="1">
      <c r="A80" s="1104">
        <v>5</v>
      </c>
      <c r="B80" s="208" t="s">
        <v>3082</v>
      </c>
      <c r="C80" s="270" t="s">
        <v>89</v>
      </c>
      <c r="D80" s="270">
        <v>8012544</v>
      </c>
      <c r="E80" s="270" t="s">
        <v>3073</v>
      </c>
      <c r="F80" s="1110" t="s">
        <v>1684</v>
      </c>
      <c r="G80" s="1123" t="s">
        <v>1242</v>
      </c>
      <c r="H80" s="270" t="s">
        <v>1480</v>
      </c>
      <c r="I80" s="270" t="s">
        <v>3083</v>
      </c>
      <c r="J80" s="1152">
        <v>1130</v>
      </c>
      <c r="K80" s="1105">
        <f t="shared" si="4"/>
        <v>1017</v>
      </c>
      <c r="L80" s="1106">
        <v>1017</v>
      </c>
      <c r="M80" s="1106">
        <v>1017</v>
      </c>
      <c r="N80" s="1106">
        <v>1017</v>
      </c>
      <c r="O80" s="1106">
        <f t="shared" si="19"/>
        <v>0</v>
      </c>
      <c r="P80" s="1106"/>
      <c r="Q80" s="1153"/>
    </row>
    <row r="81" spans="1:17" s="1126" customFormat="1" ht="63.75" customHeight="1">
      <c r="A81" s="1104">
        <v>6</v>
      </c>
      <c r="B81" s="208" t="s">
        <v>3084</v>
      </c>
      <c r="C81" s="270" t="s">
        <v>89</v>
      </c>
      <c r="D81" s="270">
        <v>8012545</v>
      </c>
      <c r="E81" s="270" t="s">
        <v>3073</v>
      </c>
      <c r="F81" s="1110" t="s">
        <v>1684</v>
      </c>
      <c r="G81" s="1123" t="s">
        <v>1242</v>
      </c>
      <c r="H81" s="270" t="s">
        <v>1480</v>
      </c>
      <c r="I81" s="270" t="s">
        <v>3085</v>
      </c>
      <c r="J81" s="1152">
        <v>1250</v>
      </c>
      <c r="K81" s="1105">
        <f t="shared" si="4"/>
        <v>1125</v>
      </c>
      <c r="L81" s="1106">
        <v>1125</v>
      </c>
      <c r="M81" s="1106">
        <v>1125</v>
      </c>
      <c r="N81" s="1106">
        <v>1125</v>
      </c>
      <c r="O81" s="1106">
        <f t="shared" si="19"/>
        <v>0</v>
      </c>
      <c r="P81" s="1106"/>
      <c r="Q81" s="1153"/>
    </row>
    <row r="82" spans="1:17" s="1126" customFormat="1" ht="56.25">
      <c r="A82" s="1104">
        <v>7</v>
      </c>
      <c r="B82" s="208" t="s">
        <v>3086</v>
      </c>
      <c r="C82" s="270" t="s">
        <v>89</v>
      </c>
      <c r="D82" s="270">
        <v>8071574</v>
      </c>
      <c r="E82" s="270" t="s">
        <v>3073</v>
      </c>
      <c r="F82" s="1110" t="s">
        <v>1684</v>
      </c>
      <c r="G82" s="1123" t="s">
        <v>1242</v>
      </c>
      <c r="H82" s="270" t="s">
        <v>1480</v>
      </c>
      <c r="I82" s="460" t="s">
        <v>3087</v>
      </c>
      <c r="J82" s="1152">
        <v>898</v>
      </c>
      <c r="K82" s="1105">
        <f t="shared" si="4"/>
        <v>808.2</v>
      </c>
      <c r="L82" s="1106">
        <v>800</v>
      </c>
      <c r="M82" s="1106">
        <v>800</v>
      </c>
      <c r="N82" s="1106">
        <v>800</v>
      </c>
      <c r="O82" s="1106">
        <f t="shared" si="19"/>
        <v>0</v>
      </c>
      <c r="P82" s="1106"/>
      <c r="Q82" s="270"/>
    </row>
    <row r="83" spans="1:17" s="1108" customFormat="1" ht="36" customHeight="1">
      <c r="A83" s="1104"/>
      <c r="B83" s="1144" t="s">
        <v>3088</v>
      </c>
      <c r="C83" s="270"/>
      <c r="D83" s="270"/>
      <c r="E83" s="270"/>
      <c r="F83" s="1148"/>
      <c r="G83" s="270"/>
      <c r="H83" s="270"/>
      <c r="I83" s="1154"/>
      <c r="J83" s="1138">
        <f t="shared" ref="J83:P83" si="20">SUM(J85:J91)</f>
        <v>17788</v>
      </c>
      <c r="K83" s="1138">
        <f t="shared" si="20"/>
        <v>16009.199999999999</v>
      </c>
      <c r="L83" s="1138">
        <f t="shared" si="20"/>
        <v>15000</v>
      </c>
      <c r="M83" s="1138">
        <f t="shared" si="20"/>
        <v>15000</v>
      </c>
      <c r="N83" s="1138">
        <f t="shared" si="20"/>
        <v>15000</v>
      </c>
      <c r="O83" s="1138">
        <f t="shared" si="20"/>
        <v>0</v>
      </c>
      <c r="P83" s="1138">
        <f t="shared" si="20"/>
        <v>0</v>
      </c>
      <c r="Q83" s="1112"/>
    </row>
    <row r="84" spans="1:17" s="1108" customFormat="1" ht="47.25" customHeight="1">
      <c r="A84" s="1104"/>
      <c r="B84" s="1103" t="s">
        <v>2970</v>
      </c>
      <c r="C84" s="270"/>
      <c r="D84" s="270"/>
      <c r="E84" s="270"/>
      <c r="F84" s="1148"/>
      <c r="G84" s="270"/>
      <c r="H84" s="270"/>
      <c r="I84" s="1154"/>
      <c r="J84" s="1138"/>
      <c r="K84" s="1138"/>
      <c r="L84" s="1138"/>
      <c r="M84" s="1138"/>
      <c r="N84" s="1138"/>
      <c r="O84" s="1106">
        <f>N84-L84</f>
        <v>0</v>
      </c>
      <c r="P84" s="1106"/>
      <c r="Q84" s="1112"/>
    </row>
    <row r="85" spans="1:17" s="1116" customFormat="1" ht="75">
      <c r="A85" s="1104">
        <v>1</v>
      </c>
      <c r="B85" s="1146" t="s">
        <v>3089</v>
      </c>
      <c r="C85" s="270" t="s">
        <v>89</v>
      </c>
      <c r="D85" s="464">
        <v>7814181</v>
      </c>
      <c r="E85" s="270" t="s">
        <v>1654</v>
      </c>
      <c r="F85" s="1148" t="s">
        <v>3088</v>
      </c>
      <c r="G85" s="846" t="s">
        <v>1266</v>
      </c>
      <c r="H85" s="270" t="s">
        <v>661</v>
      </c>
      <c r="I85" s="270" t="s">
        <v>3090</v>
      </c>
      <c r="J85" s="1149">
        <v>1999</v>
      </c>
      <c r="K85" s="1105">
        <f t="shared" si="4"/>
        <v>1799.1000000000001</v>
      </c>
      <c r="L85" s="1106">
        <f>790</f>
        <v>790</v>
      </c>
      <c r="M85" s="1106">
        <v>790</v>
      </c>
      <c r="N85" s="1106">
        <v>790</v>
      </c>
      <c r="O85" s="1106"/>
      <c r="P85" s="1106"/>
      <c r="Q85" s="460"/>
    </row>
    <row r="86" spans="1:17" s="1116" customFormat="1" ht="48.75" customHeight="1">
      <c r="A86" s="1104"/>
      <c r="B86" s="1103" t="s">
        <v>685</v>
      </c>
      <c r="C86" s="270"/>
      <c r="D86" s="464"/>
      <c r="E86" s="270"/>
      <c r="F86" s="1148"/>
      <c r="G86" s="846"/>
      <c r="H86" s="270"/>
      <c r="I86" s="469"/>
      <c r="J86" s="1149"/>
      <c r="K86" s="1105"/>
      <c r="L86" s="1106"/>
      <c r="M86" s="1106"/>
      <c r="N86" s="1106"/>
      <c r="O86" s="1106">
        <f t="shared" ref="O86:O91" si="21">N86-L86</f>
        <v>0</v>
      </c>
      <c r="P86" s="1106"/>
      <c r="Q86" s="270"/>
    </row>
    <row r="87" spans="1:17" s="1100" customFormat="1" ht="58.5" customHeight="1">
      <c r="A87" s="1104">
        <v>2</v>
      </c>
      <c r="B87" s="1151" t="s">
        <v>3091</v>
      </c>
      <c r="C87" s="270" t="s">
        <v>89</v>
      </c>
      <c r="D87" s="270">
        <v>7967114</v>
      </c>
      <c r="E87" s="270" t="s">
        <v>1654</v>
      </c>
      <c r="F87" s="270" t="s">
        <v>1679</v>
      </c>
      <c r="G87" s="270" t="s">
        <v>1266</v>
      </c>
      <c r="H87" s="270" t="s">
        <v>637</v>
      </c>
      <c r="I87" s="270" t="s">
        <v>3092</v>
      </c>
      <c r="J87" s="1105">
        <v>998</v>
      </c>
      <c r="K87" s="1105">
        <f t="shared" si="4"/>
        <v>898.2</v>
      </c>
      <c r="L87" s="1106">
        <f>800+98</f>
        <v>898</v>
      </c>
      <c r="M87" s="1106">
        <f>800+98</f>
        <v>898</v>
      </c>
      <c r="N87" s="1106">
        <v>898</v>
      </c>
      <c r="O87" s="1106">
        <f t="shared" si="21"/>
        <v>0</v>
      </c>
      <c r="P87" s="1106"/>
      <c r="Q87" s="1134"/>
    </row>
    <row r="88" spans="1:17" s="1100" customFormat="1" ht="58.5" customHeight="1">
      <c r="A88" s="1104">
        <v>3</v>
      </c>
      <c r="B88" s="1151" t="s">
        <v>3093</v>
      </c>
      <c r="C88" s="270" t="s">
        <v>89</v>
      </c>
      <c r="D88" s="270">
        <v>7967115</v>
      </c>
      <c r="E88" s="270" t="s">
        <v>1654</v>
      </c>
      <c r="F88" s="270" t="s">
        <v>1679</v>
      </c>
      <c r="G88" s="270" t="s">
        <v>1266</v>
      </c>
      <c r="H88" s="270" t="s">
        <v>637</v>
      </c>
      <c r="I88" s="270" t="s">
        <v>3094</v>
      </c>
      <c r="J88" s="1105">
        <v>450</v>
      </c>
      <c r="K88" s="1105">
        <f t="shared" si="4"/>
        <v>405</v>
      </c>
      <c r="L88" s="1106">
        <f>370+35</f>
        <v>405</v>
      </c>
      <c r="M88" s="1106">
        <f>370+35</f>
        <v>405</v>
      </c>
      <c r="N88" s="1106">
        <v>405</v>
      </c>
      <c r="O88" s="1106">
        <f t="shared" si="21"/>
        <v>0</v>
      </c>
      <c r="P88" s="1106"/>
      <c r="Q88" s="1134"/>
    </row>
    <row r="89" spans="1:17" s="1108" customFormat="1" ht="54.75" customHeight="1">
      <c r="A89" s="1104">
        <v>4</v>
      </c>
      <c r="B89" s="201" t="s">
        <v>3095</v>
      </c>
      <c r="C89" s="270" t="s">
        <v>89</v>
      </c>
      <c r="D89" s="270">
        <v>7966072</v>
      </c>
      <c r="E89" s="270" t="s">
        <v>823</v>
      </c>
      <c r="F89" s="1110" t="s">
        <v>1679</v>
      </c>
      <c r="G89" s="270" t="s">
        <v>1259</v>
      </c>
      <c r="H89" s="270" t="s">
        <v>1318</v>
      </c>
      <c r="I89" s="270" t="s">
        <v>3096</v>
      </c>
      <c r="J89" s="1111">
        <v>8500</v>
      </c>
      <c r="K89" s="1105">
        <f t="shared" si="4"/>
        <v>7650</v>
      </c>
      <c r="L89" s="1150">
        <v>7650</v>
      </c>
      <c r="M89" s="1150">
        <f>6000+1650</f>
        <v>7650</v>
      </c>
      <c r="N89" s="1150">
        <v>7650</v>
      </c>
      <c r="O89" s="1106">
        <f t="shared" si="21"/>
        <v>0</v>
      </c>
      <c r="P89" s="1106"/>
      <c r="Q89" s="270"/>
    </row>
    <row r="90" spans="1:17" s="1126" customFormat="1" ht="54.75" customHeight="1">
      <c r="A90" s="1104">
        <v>5</v>
      </c>
      <c r="B90" s="208" t="s">
        <v>3097</v>
      </c>
      <c r="C90" s="270" t="s">
        <v>89</v>
      </c>
      <c r="D90" s="270">
        <v>8011059</v>
      </c>
      <c r="E90" s="270" t="s">
        <v>1654</v>
      </c>
      <c r="F90" s="1110" t="s">
        <v>1679</v>
      </c>
      <c r="G90" s="1123" t="s">
        <v>1247</v>
      </c>
      <c r="H90" s="270" t="s">
        <v>1480</v>
      </c>
      <c r="I90" s="270" t="s">
        <v>3098</v>
      </c>
      <c r="J90" s="1152">
        <v>3650</v>
      </c>
      <c r="K90" s="1105">
        <f t="shared" si="4"/>
        <v>3285</v>
      </c>
      <c r="L90" s="1150">
        <v>3285</v>
      </c>
      <c r="M90" s="1150">
        <f>1940+1345</f>
        <v>3285</v>
      </c>
      <c r="N90" s="1150">
        <v>3285</v>
      </c>
      <c r="O90" s="1106">
        <f t="shared" si="21"/>
        <v>0</v>
      </c>
      <c r="P90" s="1106"/>
      <c r="Q90" s="1153"/>
    </row>
    <row r="91" spans="1:17" s="1126" customFormat="1" ht="48" customHeight="1">
      <c r="A91" s="1104">
        <v>6</v>
      </c>
      <c r="B91" s="208" t="s">
        <v>3099</v>
      </c>
      <c r="C91" s="270" t="s">
        <v>89</v>
      </c>
      <c r="D91" s="270">
        <v>8011060</v>
      </c>
      <c r="E91" s="270" t="s">
        <v>1654</v>
      </c>
      <c r="F91" s="1110" t="s">
        <v>1679</v>
      </c>
      <c r="G91" s="1123" t="s">
        <v>1242</v>
      </c>
      <c r="H91" s="270" t="s">
        <v>1480</v>
      </c>
      <c r="I91" s="270" t="s">
        <v>3100</v>
      </c>
      <c r="J91" s="1152">
        <v>2191</v>
      </c>
      <c r="K91" s="1105">
        <f t="shared" si="4"/>
        <v>1971.9</v>
      </c>
      <c r="L91" s="1150">
        <v>1972</v>
      </c>
      <c r="M91" s="1150">
        <v>1972</v>
      </c>
      <c r="N91" s="1150">
        <v>1972</v>
      </c>
      <c r="O91" s="1106">
        <f t="shared" si="21"/>
        <v>0</v>
      </c>
      <c r="P91" s="1106"/>
      <c r="Q91" s="1153"/>
    </row>
    <row r="92" spans="1:17" s="1108" customFormat="1" ht="40.5" customHeight="1">
      <c r="A92" s="1104"/>
      <c r="B92" s="1118" t="s">
        <v>3101</v>
      </c>
      <c r="C92" s="270"/>
      <c r="D92" s="270"/>
      <c r="E92" s="270"/>
      <c r="F92" s="1110"/>
      <c r="G92" s="270"/>
      <c r="H92" s="270"/>
      <c r="I92" s="1154"/>
      <c r="J92" s="1155">
        <f t="shared" ref="J92:P92" si="22">SUM(J94:J97)</f>
        <v>17626</v>
      </c>
      <c r="K92" s="1155">
        <f t="shared" si="22"/>
        <v>15863.4</v>
      </c>
      <c r="L92" s="1155">
        <f t="shared" si="22"/>
        <v>15000</v>
      </c>
      <c r="M92" s="1155">
        <f t="shared" si="22"/>
        <v>14137</v>
      </c>
      <c r="N92" s="1155">
        <f t="shared" si="22"/>
        <v>15000</v>
      </c>
      <c r="O92" s="1155">
        <f t="shared" si="22"/>
        <v>863</v>
      </c>
      <c r="P92" s="1155">
        <f t="shared" si="22"/>
        <v>863</v>
      </c>
      <c r="Q92" s="1156"/>
    </row>
    <row r="93" spans="1:17" s="1108" customFormat="1" ht="47.25" customHeight="1">
      <c r="A93" s="1104"/>
      <c r="B93" s="1103" t="s">
        <v>685</v>
      </c>
      <c r="C93" s="270"/>
      <c r="D93" s="270"/>
      <c r="E93" s="270"/>
      <c r="F93" s="1110"/>
      <c r="G93" s="270"/>
      <c r="H93" s="270"/>
      <c r="I93" s="1154"/>
      <c r="J93" s="1155"/>
      <c r="K93" s="1155"/>
      <c r="L93" s="1157"/>
      <c r="M93" s="1157"/>
      <c r="N93" s="1157"/>
      <c r="O93" s="1106">
        <f>N93-L93</f>
        <v>0</v>
      </c>
      <c r="P93" s="1155"/>
      <c r="Q93" s="1156"/>
    </row>
    <row r="94" spans="1:17" s="1108" customFormat="1" ht="47.25" customHeight="1">
      <c r="A94" s="1104">
        <v>1</v>
      </c>
      <c r="B94" s="208" t="s">
        <v>3102</v>
      </c>
      <c r="C94" s="270" t="s">
        <v>89</v>
      </c>
      <c r="D94" s="270">
        <v>7966073</v>
      </c>
      <c r="E94" s="270" t="s">
        <v>823</v>
      </c>
      <c r="F94" s="270" t="s">
        <v>3101</v>
      </c>
      <c r="G94" s="270" t="s">
        <v>1341</v>
      </c>
      <c r="H94" s="270" t="s">
        <v>1318</v>
      </c>
      <c r="I94" s="270" t="s">
        <v>3103</v>
      </c>
      <c r="J94" s="1149">
        <v>8000</v>
      </c>
      <c r="K94" s="1158">
        <f t="shared" si="4"/>
        <v>7200</v>
      </c>
      <c r="L94" s="1150">
        <v>7200</v>
      </c>
      <c r="M94" s="1150">
        <f>5500+841</f>
        <v>6341</v>
      </c>
      <c r="N94" s="1150">
        <v>6341</v>
      </c>
      <c r="O94" s="1106"/>
      <c r="P94" s="1106">
        <v>859</v>
      </c>
      <c r="Q94" s="270" t="s">
        <v>2243</v>
      </c>
    </row>
    <row r="95" spans="1:17" s="1108" customFormat="1" ht="53.25" customHeight="1">
      <c r="A95" s="1104">
        <v>2</v>
      </c>
      <c r="B95" s="201" t="s">
        <v>3104</v>
      </c>
      <c r="C95" s="270" t="s">
        <v>89</v>
      </c>
      <c r="D95" s="270">
        <v>7966071</v>
      </c>
      <c r="E95" s="270" t="s">
        <v>823</v>
      </c>
      <c r="F95" s="1110" t="s">
        <v>3101</v>
      </c>
      <c r="G95" s="270" t="s">
        <v>1266</v>
      </c>
      <c r="H95" s="270" t="s">
        <v>1318</v>
      </c>
      <c r="I95" s="1159" t="s">
        <v>3105</v>
      </c>
      <c r="J95" s="1111">
        <v>5700</v>
      </c>
      <c r="K95" s="1158">
        <f t="shared" si="4"/>
        <v>5130</v>
      </c>
      <c r="L95" s="1150">
        <v>5130</v>
      </c>
      <c r="M95" s="1150">
        <f>4100+1030</f>
        <v>5130</v>
      </c>
      <c r="N95" s="1150">
        <v>5130</v>
      </c>
      <c r="O95" s="1106">
        <f>N95-L95</f>
        <v>0</v>
      </c>
      <c r="P95" s="1106"/>
      <c r="Q95" s="270"/>
    </row>
    <row r="96" spans="1:17" s="1108" customFormat="1" ht="47.25" customHeight="1">
      <c r="A96" s="1104">
        <v>3</v>
      </c>
      <c r="B96" s="208" t="s">
        <v>3106</v>
      </c>
      <c r="C96" s="270" t="s">
        <v>89</v>
      </c>
      <c r="D96" s="270">
        <v>8017221</v>
      </c>
      <c r="E96" s="270" t="s">
        <v>3107</v>
      </c>
      <c r="F96" s="1110" t="s">
        <v>3101</v>
      </c>
      <c r="G96" s="1123" t="s">
        <v>1259</v>
      </c>
      <c r="H96" s="270" t="s">
        <v>1480</v>
      </c>
      <c r="I96" s="270" t="s">
        <v>3108</v>
      </c>
      <c r="J96" s="1152">
        <v>2967</v>
      </c>
      <c r="K96" s="1158">
        <f t="shared" si="4"/>
        <v>2670.3</v>
      </c>
      <c r="L96" s="1150">
        <v>2670</v>
      </c>
      <c r="M96" s="1150">
        <f>800+1866</f>
        <v>2666</v>
      </c>
      <c r="N96" s="1150">
        <v>2666</v>
      </c>
      <c r="O96" s="1106"/>
      <c r="P96" s="1106">
        <f>L96-N96</f>
        <v>4</v>
      </c>
      <c r="Q96" s="270" t="s">
        <v>2243</v>
      </c>
    </row>
    <row r="97" spans="1:18" s="1126" customFormat="1" ht="69" customHeight="1">
      <c r="A97" s="1104">
        <v>4</v>
      </c>
      <c r="B97" s="208" t="s">
        <v>3109</v>
      </c>
      <c r="C97" s="270" t="s">
        <v>89</v>
      </c>
      <c r="D97" s="270"/>
      <c r="E97" s="270" t="s">
        <v>3107</v>
      </c>
      <c r="F97" s="1110" t="s">
        <v>3101</v>
      </c>
      <c r="G97" s="1123"/>
      <c r="H97" s="270" t="s">
        <v>2956</v>
      </c>
      <c r="I97" s="270"/>
      <c r="J97" s="1152">
        <v>959</v>
      </c>
      <c r="K97" s="1158">
        <f t="shared" si="4"/>
        <v>863.1</v>
      </c>
      <c r="L97" s="1150"/>
      <c r="M97" s="1150"/>
      <c r="N97" s="1150">
        <v>863</v>
      </c>
      <c r="O97" s="1106">
        <f>N97-L97</f>
        <v>863</v>
      </c>
      <c r="P97" s="1106"/>
      <c r="Q97" s="270" t="s">
        <v>2385</v>
      </c>
    </row>
    <row r="98" spans="1:18" s="1161" customFormat="1" ht="35.25" customHeight="1">
      <c r="A98" s="1095" t="s">
        <v>122</v>
      </c>
      <c r="B98" s="1141" t="s">
        <v>1695</v>
      </c>
      <c r="C98" s="270"/>
      <c r="D98" s="1134"/>
      <c r="E98" s="1134"/>
      <c r="F98" s="1134"/>
      <c r="G98" s="1134"/>
      <c r="H98" s="1134"/>
      <c r="I98" s="1134"/>
      <c r="J98" s="1160">
        <f t="shared" ref="J98:P98" si="23">SUM(J99+J109+J120+J131+J142+J150+J157+J163+J170)</f>
        <v>193855</v>
      </c>
      <c r="K98" s="1160">
        <f t="shared" si="23"/>
        <v>174469.5</v>
      </c>
      <c r="L98" s="1160">
        <f t="shared" si="23"/>
        <v>135000</v>
      </c>
      <c r="M98" s="1160">
        <f t="shared" si="23"/>
        <v>114408</v>
      </c>
      <c r="N98" s="1160">
        <f t="shared" si="23"/>
        <v>135000</v>
      </c>
      <c r="O98" s="1160">
        <f t="shared" si="23"/>
        <v>12660</v>
      </c>
      <c r="P98" s="1160">
        <f t="shared" si="23"/>
        <v>12660</v>
      </c>
      <c r="Q98" s="1098"/>
    </row>
    <row r="99" spans="1:18" s="1161" customFormat="1" ht="34.5" customHeight="1">
      <c r="A99" s="1095"/>
      <c r="B99" s="1118" t="s">
        <v>1537</v>
      </c>
      <c r="C99" s="270"/>
      <c r="D99" s="1134"/>
      <c r="E99" s="1134"/>
      <c r="F99" s="1134"/>
      <c r="G99" s="1134"/>
      <c r="H99" s="1134"/>
      <c r="I99" s="1134"/>
      <c r="J99" s="1155">
        <f>SUM(J101:J108)</f>
        <v>20278</v>
      </c>
      <c r="K99" s="1155">
        <f t="shared" ref="K99:P99" si="24">SUM(K101:K108)</f>
        <v>18250.2</v>
      </c>
      <c r="L99" s="1155">
        <f t="shared" si="24"/>
        <v>15000</v>
      </c>
      <c r="M99" s="1155">
        <f t="shared" si="24"/>
        <v>10734</v>
      </c>
      <c r="N99" s="1155">
        <f>SUM(N101:N108)</f>
        <v>15115</v>
      </c>
      <c r="O99" s="1155">
        <f t="shared" si="24"/>
        <v>1620</v>
      </c>
      <c r="P99" s="1155">
        <f t="shared" si="24"/>
        <v>1505</v>
      </c>
      <c r="Q99" s="1134"/>
      <c r="R99" s="1162"/>
    </row>
    <row r="100" spans="1:18" s="1161" customFormat="1" ht="47.25" customHeight="1">
      <c r="A100" s="1095"/>
      <c r="B100" s="1103" t="s">
        <v>2970</v>
      </c>
      <c r="C100" s="270"/>
      <c r="D100" s="1134"/>
      <c r="E100" s="1134"/>
      <c r="F100" s="1134"/>
      <c r="G100" s="1134"/>
      <c r="H100" s="1134"/>
      <c r="I100" s="1134"/>
      <c r="J100" s="1155"/>
      <c r="K100" s="1155"/>
      <c r="L100" s="1155"/>
      <c r="M100" s="1155"/>
      <c r="N100" s="1155"/>
      <c r="O100" s="1155"/>
      <c r="P100" s="1155"/>
      <c r="Q100" s="1134"/>
    </row>
    <row r="101" spans="1:18" s="1161" customFormat="1" ht="87.75" customHeight="1">
      <c r="A101" s="1104">
        <v>1</v>
      </c>
      <c r="B101" s="208" t="s">
        <v>3110</v>
      </c>
      <c r="C101" s="270" t="s">
        <v>89</v>
      </c>
      <c r="D101" s="464">
        <v>7820394</v>
      </c>
      <c r="E101" s="270" t="s">
        <v>1710</v>
      </c>
      <c r="F101" s="270" t="s">
        <v>1537</v>
      </c>
      <c r="G101" s="270" t="s">
        <v>1266</v>
      </c>
      <c r="H101" s="270" t="s">
        <v>661</v>
      </c>
      <c r="I101" s="469" t="s">
        <v>3111</v>
      </c>
      <c r="J101" s="1149">
        <v>2899</v>
      </c>
      <c r="K101" s="1105">
        <f t="shared" si="4"/>
        <v>2609.1</v>
      </c>
      <c r="L101" s="1106">
        <v>1409</v>
      </c>
      <c r="M101" s="1106">
        <v>1409</v>
      </c>
      <c r="N101" s="1106">
        <v>1409</v>
      </c>
      <c r="O101" s="1106">
        <f>N101-L101</f>
        <v>0</v>
      </c>
      <c r="P101" s="1106"/>
      <c r="Q101" s="460"/>
    </row>
    <row r="102" spans="1:18" s="1161" customFormat="1" ht="46.5" customHeight="1">
      <c r="A102" s="1104"/>
      <c r="B102" s="1103" t="s">
        <v>685</v>
      </c>
      <c r="C102" s="270"/>
      <c r="D102" s="464"/>
      <c r="E102" s="270"/>
      <c r="F102" s="270"/>
      <c r="G102" s="270"/>
      <c r="H102" s="270"/>
      <c r="I102" s="469"/>
      <c r="J102" s="1149"/>
      <c r="K102" s="1105"/>
      <c r="L102" s="1106"/>
      <c r="M102" s="1106"/>
      <c r="N102" s="1106"/>
      <c r="O102" s="1106">
        <f t="shared" ref="O102:O108" si="25">N102-L102</f>
        <v>0</v>
      </c>
      <c r="P102" s="1106"/>
      <c r="Q102" s="1112"/>
    </row>
    <row r="103" spans="1:18" s="1163" customFormat="1" ht="81" customHeight="1">
      <c r="A103" s="1104">
        <v>2</v>
      </c>
      <c r="B103" s="201" t="s">
        <v>3112</v>
      </c>
      <c r="C103" s="270" t="s">
        <v>89</v>
      </c>
      <c r="D103" s="270">
        <v>7866784</v>
      </c>
      <c r="E103" s="270" t="s">
        <v>716</v>
      </c>
      <c r="F103" s="270" t="s">
        <v>1537</v>
      </c>
      <c r="G103" s="270" t="s">
        <v>1266</v>
      </c>
      <c r="H103" s="270" t="s">
        <v>637</v>
      </c>
      <c r="I103" s="270" t="s">
        <v>3113</v>
      </c>
      <c r="J103" s="1105">
        <v>1400</v>
      </c>
      <c r="K103" s="1105">
        <f t="shared" si="4"/>
        <v>1260</v>
      </c>
      <c r="L103" s="1106">
        <f>1112</f>
        <v>1112</v>
      </c>
      <c r="M103" s="1106">
        <v>1112</v>
      </c>
      <c r="N103" s="1106">
        <v>1112</v>
      </c>
      <c r="O103" s="1106">
        <f t="shared" si="25"/>
        <v>0</v>
      </c>
      <c r="P103" s="1106"/>
      <c r="Q103" s="1112"/>
    </row>
    <row r="104" spans="1:18" s="1163" customFormat="1" ht="56.25">
      <c r="A104" s="1104">
        <v>3</v>
      </c>
      <c r="B104" s="1164" t="s">
        <v>3114</v>
      </c>
      <c r="C104" s="270" t="s">
        <v>89</v>
      </c>
      <c r="D104" s="469">
        <v>7964187</v>
      </c>
      <c r="E104" s="270" t="s">
        <v>716</v>
      </c>
      <c r="F104" s="469" t="s">
        <v>1537</v>
      </c>
      <c r="G104" s="270" t="s">
        <v>1259</v>
      </c>
      <c r="H104" s="270" t="s">
        <v>1318</v>
      </c>
      <c r="I104" s="270" t="s">
        <v>3115</v>
      </c>
      <c r="J104" s="1165">
        <v>5000</v>
      </c>
      <c r="K104" s="1105">
        <f t="shared" si="4"/>
        <v>4500</v>
      </c>
      <c r="L104" s="1106">
        <f>3017</f>
        <v>3017</v>
      </c>
      <c r="M104" s="1106">
        <v>3017</v>
      </c>
      <c r="N104" s="1106">
        <v>3017</v>
      </c>
      <c r="O104" s="1106">
        <f t="shared" si="25"/>
        <v>0</v>
      </c>
      <c r="P104" s="1106"/>
      <c r="Q104" s="1112"/>
    </row>
    <row r="105" spans="1:18" s="1166" customFormat="1" ht="71.25" customHeight="1">
      <c r="A105" s="1104">
        <v>4</v>
      </c>
      <c r="B105" s="1164" t="s">
        <v>3116</v>
      </c>
      <c r="C105" s="270" t="s">
        <v>89</v>
      </c>
      <c r="D105" s="270">
        <v>80104156</v>
      </c>
      <c r="E105" s="270" t="s">
        <v>716</v>
      </c>
      <c r="F105" s="270" t="s">
        <v>895</v>
      </c>
      <c r="G105" s="460" t="s">
        <v>1370</v>
      </c>
      <c r="H105" s="270" t="s">
        <v>1480</v>
      </c>
      <c r="I105" s="270" t="s">
        <v>3117</v>
      </c>
      <c r="J105" s="1165">
        <v>4524</v>
      </c>
      <c r="K105" s="1105">
        <f t="shared" si="4"/>
        <v>4071.6</v>
      </c>
      <c r="L105" s="1165">
        <v>4072</v>
      </c>
      <c r="M105" s="1165">
        <f>3000+519</f>
        <v>3519</v>
      </c>
      <c r="N105" s="1165">
        <v>3788</v>
      </c>
      <c r="O105" s="1106"/>
      <c r="P105" s="1106">
        <f>L105-N105</f>
        <v>284</v>
      </c>
      <c r="Q105" s="1112" t="s">
        <v>2243</v>
      </c>
    </row>
    <row r="106" spans="1:18" s="1166" customFormat="1" ht="102.75" customHeight="1">
      <c r="A106" s="1104">
        <v>5</v>
      </c>
      <c r="B106" s="1164" t="s">
        <v>3118</v>
      </c>
      <c r="C106" s="270" t="s">
        <v>89</v>
      </c>
      <c r="D106" s="270">
        <v>8067685</v>
      </c>
      <c r="E106" s="270" t="s">
        <v>716</v>
      </c>
      <c r="F106" s="270" t="s">
        <v>895</v>
      </c>
      <c r="G106" s="460" t="s">
        <v>2865</v>
      </c>
      <c r="H106" s="270" t="s">
        <v>1480</v>
      </c>
      <c r="I106" s="270" t="s">
        <v>3119</v>
      </c>
      <c r="J106" s="1167">
        <v>1886</v>
      </c>
      <c r="K106" s="1105">
        <f t="shared" si="4"/>
        <v>1697.4</v>
      </c>
      <c r="L106" s="1165">
        <v>1707</v>
      </c>
      <c r="M106" s="1165">
        <v>1677</v>
      </c>
      <c r="N106" s="1165">
        <v>1677</v>
      </c>
      <c r="O106" s="1106"/>
      <c r="P106" s="1106">
        <f>L106-N106</f>
        <v>30</v>
      </c>
      <c r="Q106" s="1112" t="s">
        <v>2243</v>
      </c>
    </row>
    <row r="107" spans="1:18" s="1166" customFormat="1" ht="69.75" customHeight="1">
      <c r="A107" s="1104">
        <v>6</v>
      </c>
      <c r="B107" s="1164" t="s">
        <v>3120</v>
      </c>
      <c r="C107" s="270" t="s">
        <v>89</v>
      </c>
      <c r="D107" s="270"/>
      <c r="E107" s="270" t="s">
        <v>716</v>
      </c>
      <c r="F107" s="270" t="s">
        <v>895</v>
      </c>
      <c r="G107" s="460" t="s">
        <v>1370</v>
      </c>
      <c r="H107" s="270" t="s">
        <v>2956</v>
      </c>
      <c r="I107" s="270" t="s">
        <v>3121</v>
      </c>
      <c r="J107" s="1165">
        <v>2769</v>
      </c>
      <c r="K107" s="1105">
        <f t="shared" si="4"/>
        <v>2492.1</v>
      </c>
      <c r="L107" s="1165">
        <v>3683</v>
      </c>
      <c r="M107" s="1165"/>
      <c r="N107" s="1165">
        <v>2492</v>
      </c>
      <c r="O107" s="1106"/>
      <c r="P107" s="1106">
        <f>L107-N107</f>
        <v>1191</v>
      </c>
      <c r="Q107" s="270" t="s">
        <v>2243</v>
      </c>
    </row>
    <row r="108" spans="1:18" s="1166" customFormat="1" ht="56.25">
      <c r="A108" s="1104">
        <v>7</v>
      </c>
      <c r="B108" s="1164" t="s">
        <v>3122</v>
      </c>
      <c r="C108" s="270" t="s">
        <v>89</v>
      </c>
      <c r="D108" s="270"/>
      <c r="E108" s="270" t="s">
        <v>716</v>
      </c>
      <c r="F108" s="270" t="s">
        <v>895</v>
      </c>
      <c r="G108" s="460"/>
      <c r="H108" s="270" t="s">
        <v>2956</v>
      </c>
      <c r="I108" s="270"/>
      <c r="J108" s="1165">
        <v>1800</v>
      </c>
      <c r="K108" s="1105">
        <f t="shared" si="4"/>
        <v>1620</v>
      </c>
      <c r="L108" s="1165"/>
      <c r="M108" s="1165"/>
      <c r="N108" s="1165">
        <v>1620</v>
      </c>
      <c r="O108" s="1106">
        <f t="shared" si="25"/>
        <v>1620</v>
      </c>
      <c r="P108" s="1106"/>
      <c r="Q108" s="270" t="s">
        <v>2385</v>
      </c>
    </row>
    <row r="109" spans="1:18" s="1172" customFormat="1" ht="37.5" customHeight="1">
      <c r="A109" s="1168"/>
      <c r="B109" s="1118" t="s">
        <v>1744</v>
      </c>
      <c r="C109" s="270"/>
      <c r="D109" s="1169"/>
      <c r="E109" s="1170"/>
      <c r="F109" s="1170"/>
      <c r="G109" s="1170"/>
      <c r="H109" s="1170"/>
      <c r="I109" s="1171"/>
      <c r="J109" s="1155">
        <f>SUM(J111:J119)</f>
        <v>23278</v>
      </c>
      <c r="K109" s="1155">
        <f t="shared" ref="K109:P109" si="26">SUM(K111:K119)</f>
        <v>20950.2</v>
      </c>
      <c r="L109" s="1155">
        <f t="shared" si="26"/>
        <v>15452</v>
      </c>
      <c r="M109" s="1155">
        <f t="shared" si="26"/>
        <v>11416</v>
      </c>
      <c r="N109" s="1155">
        <f t="shared" si="26"/>
        <v>15366</v>
      </c>
      <c r="O109" s="1155">
        <f t="shared" si="26"/>
        <v>2880</v>
      </c>
      <c r="P109" s="1155">
        <f t="shared" si="26"/>
        <v>2966</v>
      </c>
      <c r="Q109" s="1170"/>
    </row>
    <row r="110" spans="1:18" s="1172" customFormat="1" ht="48.75" customHeight="1">
      <c r="A110" s="1168"/>
      <c r="B110" s="1103" t="s">
        <v>2970</v>
      </c>
      <c r="C110" s="270"/>
      <c r="D110" s="1169"/>
      <c r="E110" s="1170"/>
      <c r="F110" s="1170"/>
      <c r="G110" s="1170"/>
      <c r="H110" s="1170"/>
      <c r="I110" s="1171"/>
      <c r="J110" s="1155"/>
      <c r="K110" s="1155"/>
      <c r="L110" s="1155"/>
      <c r="M110" s="1155"/>
      <c r="N110" s="1155"/>
      <c r="O110" s="1106">
        <f>N110-L110</f>
        <v>0</v>
      </c>
      <c r="P110" s="1155"/>
      <c r="Q110" s="1170"/>
    </row>
    <row r="111" spans="1:18" s="1161" customFormat="1" ht="87.75" customHeight="1">
      <c r="A111" s="1104">
        <v>1</v>
      </c>
      <c r="B111" s="201" t="s">
        <v>3123</v>
      </c>
      <c r="C111" s="270" t="s">
        <v>89</v>
      </c>
      <c r="D111" s="464">
        <v>7814573</v>
      </c>
      <c r="E111" s="270" t="s">
        <v>1702</v>
      </c>
      <c r="F111" s="270" t="s">
        <v>1744</v>
      </c>
      <c r="G111" s="270" t="s">
        <v>1266</v>
      </c>
      <c r="H111" s="270" t="s">
        <v>661</v>
      </c>
      <c r="I111" s="469" t="s">
        <v>3124</v>
      </c>
      <c r="J111" s="1149">
        <v>1999</v>
      </c>
      <c r="K111" s="1105">
        <f t="shared" si="4"/>
        <v>1799.1000000000001</v>
      </c>
      <c r="L111" s="1106">
        <v>203</v>
      </c>
      <c r="M111" s="1106">
        <v>203</v>
      </c>
      <c r="N111" s="1106">
        <v>203</v>
      </c>
      <c r="O111" s="1106">
        <f>N111-L111</f>
        <v>0</v>
      </c>
      <c r="P111" s="1106"/>
      <c r="Q111" s="460"/>
    </row>
    <row r="112" spans="1:18" s="1161" customFormat="1" ht="47.25" customHeight="1">
      <c r="A112" s="1104"/>
      <c r="B112" s="1103" t="s">
        <v>685</v>
      </c>
      <c r="C112" s="270"/>
      <c r="D112" s="464"/>
      <c r="E112" s="270"/>
      <c r="F112" s="270"/>
      <c r="G112" s="270"/>
      <c r="H112" s="270"/>
      <c r="I112" s="469"/>
      <c r="J112" s="1149"/>
      <c r="K112" s="1105"/>
      <c r="L112" s="1106"/>
      <c r="M112" s="1106"/>
      <c r="N112" s="1106"/>
      <c r="O112" s="1106">
        <f t="shared" ref="O112:O119" si="27">N112-L112</f>
        <v>0</v>
      </c>
      <c r="P112" s="1106"/>
      <c r="Q112" s="1112"/>
    </row>
    <row r="113" spans="1:17" s="1163" customFormat="1" ht="84.75" customHeight="1">
      <c r="A113" s="1104">
        <v>2</v>
      </c>
      <c r="B113" s="201" t="s">
        <v>3125</v>
      </c>
      <c r="C113" s="270" t="s">
        <v>89</v>
      </c>
      <c r="D113" s="270">
        <v>7866786</v>
      </c>
      <c r="E113" s="270" t="s">
        <v>716</v>
      </c>
      <c r="F113" s="270" t="s">
        <v>1744</v>
      </c>
      <c r="G113" s="270" t="s">
        <v>1259</v>
      </c>
      <c r="H113" s="270" t="s">
        <v>673</v>
      </c>
      <c r="I113" s="270" t="s">
        <v>3126</v>
      </c>
      <c r="J113" s="1173">
        <v>2560</v>
      </c>
      <c r="K113" s="1105">
        <f t="shared" si="4"/>
        <v>2304</v>
      </c>
      <c r="L113" s="1106">
        <f>2213</f>
        <v>2213</v>
      </c>
      <c r="M113" s="1106">
        <v>2213</v>
      </c>
      <c r="N113" s="1106">
        <v>2213</v>
      </c>
      <c r="O113" s="1106">
        <f t="shared" si="27"/>
        <v>0</v>
      </c>
      <c r="P113" s="1106"/>
      <c r="Q113" s="1112"/>
    </row>
    <row r="114" spans="1:17" s="1163" customFormat="1" ht="56.25">
      <c r="A114" s="1104">
        <v>3</v>
      </c>
      <c r="B114" s="1164" t="s">
        <v>3127</v>
      </c>
      <c r="C114" s="270" t="s">
        <v>89</v>
      </c>
      <c r="D114" s="469">
        <v>7964746</v>
      </c>
      <c r="E114" s="270" t="s">
        <v>716</v>
      </c>
      <c r="F114" s="469" t="s">
        <v>1744</v>
      </c>
      <c r="G114" s="270" t="s">
        <v>1259</v>
      </c>
      <c r="H114" s="270" t="s">
        <v>1318</v>
      </c>
      <c r="I114" s="270" t="s">
        <v>3128</v>
      </c>
      <c r="J114" s="1165">
        <v>6600</v>
      </c>
      <c r="K114" s="1105">
        <f t="shared" si="4"/>
        <v>5940</v>
      </c>
      <c r="L114" s="1106">
        <f>2840</f>
        <v>2840</v>
      </c>
      <c r="M114" s="1106">
        <v>2840</v>
      </c>
      <c r="N114" s="1106">
        <v>2840</v>
      </c>
      <c r="O114" s="1106">
        <f t="shared" si="27"/>
        <v>0</v>
      </c>
      <c r="P114" s="1106"/>
      <c r="Q114" s="1112"/>
    </row>
    <row r="115" spans="1:17" s="1166" customFormat="1" ht="88.5" customHeight="1">
      <c r="A115" s="1104">
        <v>4</v>
      </c>
      <c r="B115" s="201" t="s">
        <v>3129</v>
      </c>
      <c r="C115" s="270" t="s">
        <v>89</v>
      </c>
      <c r="D115" s="270">
        <v>8010417</v>
      </c>
      <c r="E115" s="270" t="s">
        <v>2872</v>
      </c>
      <c r="F115" s="270" t="s">
        <v>1703</v>
      </c>
      <c r="G115" s="460" t="s">
        <v>1370</v>
      </c>
      <c r="H115" s="270" t="s">
        <v>1480</v>
      </c>
      <c r="I115" s="270" t="s">
        <v>3130</v>
      </c>
      <c r="J115" s="1165">
        <v>3200</v>
      </c>
      <c r="K115" s="1105">
        <f t="shared" si="4"/>
        <v>2880</v>
      </c>
      <c r="L115" s="1106">
        <v>2880</v>
      </c>
      <c r="M115" s="1106">
        <f>1600+160</f>
        <v>1760</v>
      </c>
      <c r="N115" s="1106">
        <v>2083</v>
      </c>
      <c r="O115" s="1106"/>
      <c r="P115" s="1106">
        <f>L115-N115</f>
        <v>797</v>
      </c>
      <c r="Q115" s="270" t="s">
        <v>2243</v>
      </c>
    </row>
    <row r="116" spans="1:17" s="1166" customFormat="1" ht="37.5">
      <c r="A116" s="1104">
        <v>5</v>
      </c>
      <c r="B116" s="201" t="s">
        <v>3131</v>
      </c>
      <c r="C116" s="270" t="s">
        <v>89</v>
      </c>
      <c r="D116" s="270">
        <v>8044821</v>
      </c>
      <c r="E116" s="270" t="s">
        <v>2872</v>
      </c>
      <c r="F116" s="270" t="s">
        <v>1703</v>
      </c>
      <c r="G116" s="460" t="s">
        <v>1368</v>
      </c>
      <c r="H116" s="270" t="s">
        <v>1480</v>
      </c>
      <c r="I116" s="469" t="s">
        <v>3132</v>
      </c>
      <c r="J116" s="1167">
        <v>3953</v>
      </c>
      <c r="K116" s="1105">
        <f t="shared" si="4"/>
        <v>3557.7000000000003</v>
      </c>
      <c r="L116" s="1106">
        <v>4500</v>
      </c>
      <c r="M116" s="1106">
        <v>3000</v>
      </c>
      <c r="N116" s="1106">
        <v>3558</v>
      </c>
      <c r="O116" s="1106"/>
      <c r="P116" s="1106">
        <f>L116-N116</f>
        <v>942</v>
      </c>
      <c r="Q116" s="1112" t="s">
        <v>2243</v>
      </c>
    </row>
    <row r="117" spans="1:17" s="1166" customFormat="1" ht="50.25" customHeight="1">
      <c r="A117" s="1104">
        <v>6</v>
      </c>
      <c r="B117" s="201" t="s">
        <v>3133</v>
      </c>
      <c r="C117" s="270" t="s">
        <v>89</v>
      </c>
      <c r="D117" s="270">
        <v>8067686</v>
      </c>
      <c r="E117" s="270" t="s">
        <v>2872</v>
      </c>
      <c r="F117" s="270" t="s">
        <v>1703</v>
      </c>
      <c r="G117" s="460" t="s">
        <v>1368</v>
      </c>
      <c r="H117" s="270" t="s">
        <v>2956</v>
      </c>
      <c r="I117" s="469" t="s">
        <v>3134</v>
      </c>
      <c r="J117" s="1167">
        <v>1766</v>
      </c>
      <c r="K117" s="1105">
        <f t="shared" si="4"/>
        <v>1589.4</v>
      </c>
      <c r="L117" s="1106">
        <v>2816</v>
      </c>
      <c r="M117" s="1106">
        <v>1400</v>
      </c>
      <c r="N117" s="1106">
        <v>1589</v>
      </c>
      <c r="O117" s="1106"/>
      <c r="P117" s="1106">
        <f>L117-N117</f>
        <v>1227</v>
      </c>
      <c r="Q117" s="270" t="s">
        <v>2243</v>
      </c>
    </row>
    <row r="118" spans="1:17" s="1166" customFormat="1" ht="66" customHeight="1">
      <c r="A118" s="1104">
        <v>7</v>
      </c>
      <c r="B118" s="1164" t="s">
        <v>3135</v>
      </c>
      <c r="C118" s="270" t="s">
        <v>89</v>
      </c>
      <c r="D118" s="270"/>
      <c r="E118" s="270" t="s">
        <v>2872</v>
      </c>
      <c r="F118" s="270" t="s">
        <v>1703</v>
      </c>
      <c r="G118" s="460"/>
      <c r="H118" s="270" t="s">
        <v>2956</v>
      </c>
      <c r="I118" s="469"/>
      <c r="J118" s="1167">
        <v>2000</v>
      </c>
      <c r="K118" s="1105">
        <f t="shared" si="4"/>
        <v>1800</v>
      </c>
      <c r="L118" s="1106"/>
      <c r="M118" s="1106"/>
      <c r="N118" s="1106">
        <v>1800</v>
      </c>
      <c r="O118" s="1106">
        <f t="shared" si="27"/>
        <v>1800</v>
      </c>
      <c r="P118" s="1106"/>
      <c r="Q118" s="270" t="s">
        <v>2385</v>
      </c>
    </row>
    <row r="119" spans="1:17" s="1166" customFormat="1" ht="67.5" customHeight="1">
      <c r="A119" s="1104">
        <v>8</v>
      </c>
      <c r="B119" s="1164" t="s">
        <v>3136</v>
      </c>
      <c r="C119" s="270" t="s">
        <v>89</v>
      </c>
      <c r="D119" s="270"/>
      <c r="E119" s="270" t="s">
        <v>2872</v>
      </c>
      <c r="F119" s="270" t="s">
        <v>1703</v>
      </c>
      <c r="G119" s="460"/>
      <c r="H119" s="270" t="s">
        <v>2956</v>
      </c>
      <c r="I119" s="469"/>
      <c r="J119" s="1167">
        <v>1200</v>
      </c>
      <c r="K119" s="1105">
        <f t="shared" si="4"/>
        <v>1080</v>
      </c>
      <c r="L119" s="1106"/>
      <c r="M119" s="1106"/>
      <c r="N119" s="1106">
        <v>1080</v>
      </c>
      <c r="O119" s="1106">
        <f t="shared" si="27"/>
        <v>1080</v>
      </c>
      <c r="P119" s="1106"/>
      <c r="Q119" s="270" t="s">
        <v>2385</v>
      </c>
    </row>
    <row r="120" spans="1:17" s="1161" customFormat="1" ht="32.25" customHeight="1">
      <c r="A120" s="1104"/>
      <c r="B120" s="1118" t="s">
        <v>3137</v>
      </c>
      <c r="C120" s="270"/>
      <c r="D120" s="464"/>
      <c r="E120" s="270"/>
      <c r="F120" s="270"/>
      <c r="G120" s="270"/>
      <c r="H120" s="270"/>
      <c r="I120" s="469"/>
      <c r="J120" s="1155">
        <f t="shared" ref="J120:P120" si="28">SUM(J122:J130)</f>
        <v>22759</v>
      </c>
      <c r="K120" s="1155">
        <f t="shared" si="28"/>
        <v>20483.099999999999</v>
      </c>
      <c r="L120" s="1155">
        <f t="shared" si="28"/>
        <v>15003</v>
      </c>
      <c r="M120" s="1155">
        <f t="shared" si="28"/>
        <v>11482</v>
      </c>
      <c r="N120" s="1155">
        <f t="shared" si="28"/>
        <v>15027</v>
      </c>
      <c r="O120" s="1155">
        <f t="shared" si="28"/>
        <v>1780</v>
      </c>
      <c r="P120" s="1155">
        <f t="shared" si="28"/>
        <v>1756</v>
      </c>
      <c r="Q120" s="1134"/>
    </row>
    <row r="121" spans="1:17" s="1161" customFormat="1" ht="43.5" customHeight="1">
      <c r="A121" s="1104"/>
      <c r="B121" s="1103" t="s">
        <v>2970</v>
      </c>
      <c r="C121" s="270"/>
      <c r="D121" s="464"/>
      <c r="E121" s="270"/>
      <c r="F121" s="270"/>
      <c r="G121" s="270"/>
      <c r="H121" s="270"/>
      <c r="I121" s="469"/>
      <c r="J121" s="1155"/>
      <c r="K121" s="1155"/>
      <c r="L121" s="1155"/>
      <c r="M121" s="1155"/>
      <c r="N121" s="1155"/>
      <c r="O121" s="1106">
        <f>N121-L121</f>
        <v>0</v>
      </c>
      <c r="P121" s="1155"/>
      <c r="Q121" s="1134"/>
    </row>
    <row r="122" spans="1:17" s="1161" customFormat="1" ht="84.75" customHeight="1">
      <c r="A122" s="1104">
        <v>1</v>
      </c>
      <c r="B122" s="201" t="s">
        <v>3138</v>
      </c>
      <c r="C122" s="270" t="s">
        <v>89</v>
      </c>
      <c r="D122" s="464">
        <v>7820397</v>
      </c>
      <c r="E122" s="270" t="s">
        <v>3139</v>
      </c>
      <c r="F122" s="270" t="s">
        <v>3137</v>
      </c>
      <c r="G122" s="270" t="s">
        <v>1266</v>
      </c>
      <c r="H122" s="270" t="s">
        <v>661</v>
      </c>
      <c r="I122" s="469" t="s">
        <v>3140</v>
      </c>
      <c r="J122" s="1149">
        <v>1500</v>
      </c>
      <c r="K122" s="1105">
        <f t="shared" si="4"/>
        <v>1350</v>
      </c>
      <c r="L122" s="1106">
        <v>558</v>
      </c>
      <c r="M122" s="1106">
        <v>558</v>
      </c>
      <c r="N122" s="1106">
        <v>558</v>
      </c>
      <c r="O122" s="1106">
        <f>N122-L122</f>
        <v>0</v>
      </c>
      <c r="P122" s="1106"/>
      <c r="Q122" s="460"/>
    </row>
    <row r="123" spans="1:17" s="1161" customFormat="1" ht="48.75" customHeight="1">
      <c r="A123" s="1104"/>
      <c r="B123" s="1103" t="s">
        <v>685</v>
      </c>
      <c r="C123" s="270"/>
      <c r="D123" s="464"/>
      <c r="E123" s="270"/>
      <c r="F123" s="270"/>
      <c r="G123" s="270"/>
      <c r="H123" s="270"/>
      <c r="I123" s="469"/>
      <c r="J123" s="1149"/>
      <c r="K123" s="1105"/>
      <c r="L123" s="1106"/>
      <c r="M123" s="1106"/>
      <c r="N123" s="1106"/>
      <c r="O123" s="1106">
        <f>N123-L123</f>
        <v>0</v>
      </c>
      <c r="P123" s="1106"/>
      <c r="Q123" s="270"/>
    </row>
    <row r="124" spans="1:17" s="1163" customFormat="1" ht="92.25" customHeight="1">
      <c r="A124" s="1104">
        <v>2</v>
      </c>
      <c r="B124" s="1164" t="s">
        <v>3141</v>
      </c>
      <c r="C124" s="270" t="s">
        <v>89</v>
      </c>
      <c r="D124" s="469">
        <v>7866780</v>
      </c>
      <c r="E124" s="270" t="s">
        <v>716</v>
      </c>
      <c r="F124" s="270" t="s">
        <v>3137</v>
      </c>
      <c r="G124" s="270"/>
      <c r="H124" s="270" t="s">
        <v>637</v>
      </c>
      <c r="I124" s="270" t="s">
        <v>3142</v>
      </c>
      <c r="J124" s="1105">
        <v>2000</v>
      </c>
      <c r="K124" s="1105">
        <f t="shared" si="4"/>
        <v>1800</v>
      </c>
      <c r="L124" s="1106">
        <f>1688+20</f>
        <v>1708</v>
      </c>
      <c r="M124" s="1106">
        <f>1688+20</f>
        <v>1708</v>
      </c>
      <c r="N124" s="1106">
        <v>1708</v>
      </c>
      <c r="O124" s="1106">
        <f>N124-L124</f>
        <v>0</v>
      </c>
      <c r="P124" s="1106"/>
      <c r="Q124" s="1112"/>
    </row>
    <row r="125" spans="1:17" s="1163" customFormat="1" ht="58.5" customHeight="1">
      <c r="A125" s="1104">
        <v>3</v>
      </c>
      <c r="B125" s="1164" t="s">
        <v>3143</v>
      </c>
      <c r="C125" s="270" t="s">
        <v>89</v>
      </c>
      <c r="D125" s="469">
        <v>7964749</v>
      </c>
      <c r="E125" s="270" t="s">
        <v>716</v>
      </c>
      <c r="F125" s="469" t="s">
        <v>3137</v>
      </c>
      <c r="G125" s="270" t="s">
        <v>1259</v>
      </c>
      <c r="H125" s="270" t="s">
        <v>1318</v>
      </c>
      <c r="I125" s="270" t="s">
        <v>3144</v>
      </c>
      <c r="J125" s="1165">
        <v>3840</v>
      </c>
      <c r="K125" s="1105">
        <f t="shared" si="4"/>
        <v>3456</v>
      </c>
      <c r="L125" s="1106">
        <f>2598</f>
        <v>2598</v>
      </c>
      <c r="M125" s="1106">
        <v>2598</v>
      </c>
      <c r="N125" s="1106">
        <v>2598</v>
      </c>
      <c r="O125" s="1106">
        <f>N125-L125</f>
        <v>0</v>
      </c>
      <c r="P125" s="1106"/>
      <c r="Q125" s="1112"/>
    </row>
    <row r="126" spans="1:17" s="1166" customFormat="1" ht="37.5">
      <c r="A126" s="1104">
        <v>4</v>
      </c>
      <c r="B126" s="201" t="s">
        <v>3145</v>
      </c>
      <c r="C126" s="270" t="s">
        <v>89</v>
      </c>
      <c r="D126" s="469">
        <v>8010414</v>
      </c>
      <c r="E126" s="270" t="s">
        <v>716</v>
      </c>
      <c r="F126" s="469" t="s">
        <v>717</v>
      </c>
      <c r="G126" s="460" t="s">
        <v>1368</v>
      </c>
      <c r="H126" s="270" t="s">
        <v>1480</v>
      </c>
      <c r="I126" s="270" t="s">
        <v>3146</v>
      </c>
      <c r="J126" s="1165">
        <v>4172</v>
      </c>
      <c r="K126" s="1105">
        <f t="shared" si="4"/>
        <v>3754.8</v>
      </c>
      <c r="L126" s="1165">
        <v>3755</v>
      </c>
      <c r="M126" s="1165">
        <f>3000+318</f>
        <v>3318</v>
      </c>
      <c r="N126" s="1165">
        <v>3390</v>
      </c>
      <c r="O126" s="1106"/>
      <c r="P126" s="1106">
        <f>L126-N126</f>
        <v>365</v>
      </c>
      <c r="Q126" s="1112" t="s">
        <v>2243</v>
      </c>
    </row>
    <row r="127" spans="1:17" s="1166" customFormat="1" ht="37.5">
      <c r="A127" s="1104">
        <v>5</v>
      </c>
      <c r="B127" s="1164" t="s">
        <v>3147</v>
      </c>
      <c r="C127" s="270" t="s">
        <v>89</v>
      </c>
      <c r="D127" s="270">
        <v>8067688</v>
      </c>
      <c r="E127" s="270" t="s">
        <v>716</v>
      </c>
      <c r="F127" s="469" t="s">
        <v>717</v>
      </c>
      <c r="G127" s="460" t="s">
        <v>1370</v>
      </c>
      <c r="H127" s="270" t="s">
        <v>1480</v>
      </c>
      <c r="I127" s="469" t="s">
        <v>3148</v>
      </c>
      <c r="J127" s="1167">
        <v>1013</v>
      </c>
      <c r="K127" s="1105">
        <f t="shared" si="4"/>
        <v>911.7</v>
      </c>
      <c r="L127" s="1165">
        <v>2154</v>
      </c>
      <c r="M127" s="1165">
        <v>900</v>
      </c>
      <c r="N127" s="1165">
        <v>912</v>
      </c>
      <c r="O127" s="1106"/>
      <c r="P127" s="1106">
        <f>L127-N127</f>
        <v>1242</v>
      </c>
      <c r="Q127" s="1112" t="s">
        <v>2990</v>
      </c>
    </row>
    <row r="128" spans="1:17" s="1166" customFormat="1" ht="90.75" customHeight="1">
      <c r="A128" s="1104">
        <v>6</v>
      </c>
      <c r="B128" s="1164" t="s">
        <v>3149</v>
      </c>
      <c r="C128" s="270" t="s">
        <v>89</v>
      </c>
      <c r="D128" s="469"/>
      <c r="E128" s="270" t="s">
        <v>716</v>
      </c>
      <c r="F128" s="469" t="s">
        <v>717</v>
      </c>
      <c r="G128" s="460" t="s">
        <v>2865</v>
      </c>
      <c r="H128" s="270" t="s">
        <v>1480</v>
      </c>
      <c r="I128" s="1165"/>
      <c r="J128" s="1165">
        <v>3500</v>
      </c>
      <c r="K128" s="1105">
        <f t="shared" si="4"/>
        <v>3150</v>
      </c>
      <c r="L128" s="1165"/>
      <c r="M128" s="1165"/>
      <c r="N128" s="1165"/>
      <c r="O128" s="1106">
        <f>N128-L128</f>
        <v>0</v>
      </c>
      <c r="P128" s="1106"/>
      <c r="Q128" s="270" t="s">
        <v>3051</v>
      </c>
    </row>
    <row r="129" spans="1:17" s="1166" customFormat="1" ht="87.75" customHeight="1">
      <c r="A129" s="1104">
        <v>7</v>
      </c>
      <c r="B129" s="1164" t="s">
        <v>3150</v>
      </c>
      <c r="C129" s="270" t="s">
        <v>89</v>
      </c>
      <c r="D129" s="270">
        <v>8067687</v>
      </c>
      <c r="E129" s="270" t="s">
        <v>716</v>
      </c>
      <c r="F129" s="469" t="s">
        <v>717</v>
      </c>
      <c r="G129" s="460" t="s">
        <v>2865</v>
      </c>
      <c r="H129" s="270" t="s">
        <v>1480</v>
      </c>
      <c r="I129" s="270" t="s">
        <v>3151</v>
      </c>
      <c r="J129" s="1167">
        <v>4534</v>
      </c>
      <c r="K129" s="1105">
        <f t="shared" si="4"/>
        <v>4080.6</v>
      </c>
      <c r="L129" s="1165">
        <v>4230</v>
      </c>
      <c r="M129" s="1165">
        <v>2400</v>
      </c>
      <c r="N129" s="1165">
        <v>4081</v>
      </c>
      <c r="O129" s="1106"/>
      <c r="P129" s="1106">
        <f>L129-N129</f>
        <v>149</v>
      </c>
      <c r="Q129" s="270" t="s">
        <v>2243</v>
      </c>
    </row>
    <row r="130" spans="1:17" s="1166" customFormat="1" ht="69" customHeight="1">
      <c r="A130" s="1104">
        <v>8</v>
      </c>
      <c r="B130" s="201" t="s">
        <v>3152</v>
      </c>
      <c r="C130" s="270" t="s">
        <v>89</v>
      </c>
      <c r="D130" s="270"/>
      <c r="E130" s="270" t="s">
        <v>716</v>
      </c>
      <c r="F130" s="469" t="s">
        <v>717</v>
      </c>
      <c r="G130" s="460"/>
      <c r="H130" s="270" t="s">
        <v>2956</v>
      </c>
      <c r="I130" s="270"/>
      <c r="J130" s="1167">
        <v>2200</v>
      </c>
      <c r="K130" s="1105">
        <f t="shared" si="4"/>
        <v>1980</v>
      </c>
      <c r="L130" s="1165"/>
      <c r="M130" s="1165"/>
      <c r="N130" s="1165">
        <v>1780</v>
      </c>
      <c r="O130" s="1106">
        <f>N130-L130</f>
        <v>1780</v>
      </c>
      <c r="P130" s="1106"/>
      <c r="Q130" s="270" t="s">
        <v>2385</v>
      </c>
    </row>
    <row r="131" spans="1:17" s="1161" customFormat="1" ht="39.75" customHeight="1">
      <c r="A131" s="1104"/>
      <c r="B131" s="1118" t="s">
        <v>1747</v>
      </c>
      <c r="C131" s="270"/>
      <c r="D131" s="464"/>
      <c r="E131" s="270"/>
      <c r="F131" s="270"/>
      <c r="G131" s="270"/>
      <c r="H131" s="270"/>
      <c r="I131" s="469"/>
      <c r="J131" s="1155">
        <f>SUM(J133:J141)</f>
        <v>31034</v>
      </c>
      <c r="K131" s="1155">
        <f t="shared" ref="K131:P131" si="29">SUM(K133:K141)</f>
        <v>27930.6</v>
      </c>
      <c r="L131" s="1155">
        <f t="shared" si="29"/>
        <v>15500</v>
      </c>
      <c r="M131" s="1155">
        <f t="shared" si="29"/>
        <v>13744</v>
      </c>
      <c r="N131" s="1155">
        <f t="shared" si="29"/>
        <v>15459</v>
      </c>
      <c r="O131" s="1155">
        <f t="shared" si="29"/>
        <v>1335</v>
      </c>
      <c r="P131" s="1155">
        <f t="shared" si="29"/>
        <v>1376</v>
      </c>
      <c r="Q131" s="1098"/>
    </row>
    <row r="132" spans="1:17" s="1161" customFormat="1" ht="45" customHeight="1">
      <c r="A132" s="1104"/>
      <c r="B132" s="1103" t="s">
        <v>2970</v>
      </c>
      <c r="C132" s="270"/>
      <c r="D132" s="464"/>
      <c r="E132" s="270"/>
      <c r="F132" s="270"/>
      <c r="G132" s="270"/>
      <c r="H132" s="270"/>
      <c r="I132" s="469"/>
      <c r="J132" s="1155"/>
      <c r="K132" s="1155"/>
      <c r="L132" s="1155"/>
      <c r="M132" s="1155"/>
      <c r="N132" s="1155"/>
      <c r="O132" s="1106">
        <f>N132-L132</f>
        <v>0</v>
      </c>
      <c r="P132" s="1155"/>
      <c r="Q132" s="1098"/>
    </row>
    <row r="133" spans="1:17" s="1161" customFormat="1" ht="63.75" customHeight="1">
      <c r="A133" s="1104">
        <v>1</v>
      </c>
      <c r="B133" s="201" t="s">
        <v>3153</v>
      </c>
      <c r="C133" s="270" t="s">
        <v>89</v>
      </c>
      <c r="D133" s="464">
        <v>7820393</v>
      </c>
      <c r="E133" s="270" t="s">
        <v>3154</v>
      </c>
      <c r="F133" s="270" t="s">
        <v>1747</v>
      </c>
      <c r="G133" s="270" t="s">
        <v>1266</v>
      </c>
      <c r="H133" s="270" t="s">
        <v>661</v>
      </c>
      <c r="I133" s="469" t="s">
        <v>3155</v>
      </c>
      <c r="J133" s="1149">
        <v>2294</v>
      </c>
      <c r="K133" s="1105">
        <f t="shared" si="4"/>
        <v>2064.6</v>
      </c>
      <c r="L133" s="1106">
        <v>373</v>
      </c>
      <c r="M133" s="1106">
        <v>373</v>
      </c>
      <c r="N133" s="1106">
        <v>373</v>
      </c>
      <c r="O133" s="1106"/>
      <c r="P133" s="1106"/>
      <c r="Q133" s="460"/>
    </row>
    <row r="134" spans="1:17" s="1161" customFormat="1" ht="46.5" customHeight="1">
      <c r="A134" s="1104"/>
      <c r="B134" s="1103" t="s">
        <v>685</v>
      </c>
      <c r="C134" s="270"/>
      <c r="D134" s="464"/>
      <c r="E134" s="270"/>
      <c r="F134" s="270"/>
      <c r="G134" s="270"/>
      <c r="H134" s="270"/>
      <c r="I134" s="469"/>
      <c r="J134" s="1149"/>
      <c r="K134" s="1105"/>
      <c r="L134" s="1106"/>
      <c r="M134" s="1106"/>
      <c r="N134" s="1106"/>
      <c r="O134" s="1106">
        <f>N134-L134</f>
        <v>0</v>
      </c>
      <c r="P134" s="1106"/>
      <c r="Q134" s="1112"/>
    </row>
    <row r="135" spans="1:17" s="1163" customFormat="1" ht="78.75" customHeight="1">
      <c r="A135" s="1104">
        <v>1</v>
      </c>
      <c r="B135" s="1164" t="s">
        <v>3156</v>
      </c>
      <c r="C135" s="270" t="s">
        <v>89</v>
      </c>
      <c r="D135" s="469">
        <v>7913470</v>
      </c>
      <c r="E135" s="270" t="s">
        <v>716</v>
      </c>
      <c r="F135" s="270" t="s">
        <v>1747</v>
      </c>
      <c r="G135" s="270" t="s">
        <v>1259</v>
      </c>
      <c r="H135" s="270" t="s">
        <v>637</v>
      </c>
      <c r="I135" s="270" t="s">
        <v>3157</v>
      </c>
      <c r="J135" s="1105">
        <v>1900</v>
      </c>
      <c r="K135" s="1105">
        <f t="shared" si="4"/>
        <v>1710</v>
      </c>
      <c r="L135" s="1106">
        <f>1616</f>
        <v>1616</v>
      </c>
      <c r="M135" s="1106">
        <v>1616</v>
      </c>
      <c r="N135" s="1106">
        <v>1616</v>
      </c>
      <c r="O135" s="1106">
        <f>N135-L135</f>
        <v>0</v>
      </c>
      <c r="P135" s="1106"/>
      <c r="Q135" s="1112"/>
    </row>
    <row r="136" spans="1:17" s="1163" customFormat="1" ht="72.75" customHeight="1">
      <c r="A136" s="1104">
        <v>2</v>
      </c>
      <c r="B136" s="1164" t="s">
        <v>3158</v>
      </c>
      <c r="C136" s="270" t="s">
        <v>89</v>
      </c>
      <c r="D136" s="469">
        <v>7964185</v>
      </c>
      <c r="E136" s="270" t="s">
        <v>716</v>
      </c>
      <c r="F136" s="469" t="s">
        <v>1747</v>
      </c>
      <c r="G136" s="270" t="s">
        <v>1266</v>
      </c>
      <c r="H136" s="270" t="s">
        <v>1318</v>
      </c>
      <c r="I136" s="270" t="s">
        <v>3159</v>
      </c>
      <c r="J136" s="1165">
        <v>7890</v>
      </c>
      <c r="K136" s="1105">
        <f t="shared" si="4"/>
        <v>7101</v>
      </c>
      <c r="L136" s="1106">
        <v>5200</v>
      </c>
      <c r="M136" s="1106">
        <f>4200+195</f>
        <v>4395</v>
      </c>
      <c r="N136" s="1106">
        <v>4395</v>
      </c>
      <c r="O136" s="1106"/>
      <c r="P136" s="1106">
        <f>L136-N136</f>
        <v>805</v>
      </c>
      <c r="Q136" s="1112" t="s">
        <v>2243</v>
      </c>
    </row>
    <row r="137" spans="1:17" ht="88.5" customHeight="1">
      <c r="A137" s="1104">
        <v>3</v>
      </c>
      <c r="B137" s="1164" t="s">
        <v>3160</v>
      </c>
      <c r="C137" s="270" t="s">
        <v>89</v>
      </c>
      <c r="D137" s="469">
        <v>8010413</v>
      </c>
      <c r="E137" s="270" t="s">
        <v>716</v>
      </c>
      <c r="F137" s="469" t="s">
        <v>3161</v>
      </c>
      <c r="G137" s="460" t="s">
        <v>1370</v>
      </c>
      <c r="H137" s="270" t="s">
        <v>1480</v>
      </c>
      <c r="I137" s="270" t="s">
        <v>3162</v>
      </c>
      <c r="J137" s="1165">
        <v>6423</v>
      </c>
      <c r="K137" s="1105">
        <f t="shared" si="4"/>
        <v>5780.7</v>
      </c>
      <c r="L137" s="1165">
        <v>5781</v>
      </c>
      <c r="M137" s="1165">
        <f>3712+1495</f>
        <v>5207</v>
      </c>
      <c r="N137" s="1165">
        <v>5781</v>
      </c>
      <c r="O137" s="1106">
        <f>N137-L137</f>
        <v>0</v>
      </c>
      <c r="P137" s="1106"/>
      <c r="Q137" s="1112"/>
    </row>
    <row r="138" spans="1:17" ht="69" customHeight="1">
      <c r="A138" s="1104">
        <v>4</v>
      </c>
      <c r="B138" s="208" t="s">
        <v>3163</v>
      </c>
      <c r="C138" s="270" t="s">
        <v>89</v>
      </c>
      <c r="D138" s="469"/>
      <c r="E138" s="270" t="s">
        <v>716</v>
      </c>
      <c r="F138" s="469" t="s">
        <v>3161</v>
      </c>
      <c r="G138" s="460" t="s">
        <v>1368</v>
      </c>
      <c r="H138" s="270" t="s">
        <v>1480</v>
      </c>
      <c r="I138" s="1165"/>
      <c r="J138" s="1165">
        <v>8500</v>
      </c>
      <c r="K138" s="1105">
        <f t="shared" si="4"/>
        <v>7650</v>
      </c>
      <c r="L138" s="1165"/>
      <c r="M138" s="1165"/>
      <c r="N138" s="1165"/>
      <c r="O138" s="1106">
        <f>N138-L138</f>
        <v>0</v>
      </c>
      <c r="P138" s="1106"/>
      <c r="Q138" s="270" t="s">
        <v>3051</v>
      </c>
    </row>
    <row r="139" spans="1:17" ht="67.5" customHeight="1">
      <c r="A139" s="1104">
        <v>5</v>
      </c>
      <c r="B139" s="208" t="s">
        <v>3164</v>
      </c>
      <c r="C139" s="270" t="s">
        <v>89</v>
      </c>
      <c r="D139" s="270">
        <v>8067680</v>
      </c>
      <c r="E139" s="270" t="s">
        <v>716</v>
      </c>
      <c r="F139" s="469" t="s">
        <v>3161</v>
      </c>
      <c r="G139" s="460" t="s">
        <v>1370</v>
      </c>
      <c r="H139" s="270" t="s">
        <v>1480</v>
      </c>
      <c r="I139" s="469" t="s">
        <v>3165</v>
      </c>
      <c r="J139" s="1167">
        <v>1000</v>
      </c>
      <c r="K139" s="1105">
        <f t="shared" si="4"/>
        <v>900</v>
      </c>
      <c r="L139" s="1165">
        <v>585</v>
      </c>
      <c r="M139" s="1165">
        <v>900</v>
      </c>
      <c r="N139" s="1165">
        <v>900</v>
      </c>
      <c r="O139" s="1106">
        <f>N139-L139</f>
        <v>315</v>
      </c>
      <c r="P139" s="1106"/>
      <c r="Q139" s="270" t="s">
        <v>2566</v>
      </c>
    </row>
    <row r="140" spans="1:17" ht="69.75" customHeight="1">
      <c r="A140" s="1104">
        <v>6</v>
      </c>
      <c r="B140" s="208" t="s">
        <v>3166</v>
      </c>
      <c r="C140" s="270" t="s">
        <v>89</v>
      </c>
      <c r="D140" s="270">
        <v>8067681</v>
      </c>
      <c r="E140" s="270" t="s">
        <v>716</v>
      </c>
      <c r="F140" s="469" t="s">
        <v>3161</v>
      </c>
      <c r="G140" s="460" t="s">
        <v>2865</v>
      </c>
      <c r="H140" s="270" t="s">
        <v>1480</v>
      </c>
      <c r="I140" s="469" t="s">
        <v>3167</v>
      </c>
      <c r="J140" s="1167">
        <v>1527</v>
      </c>
      <c r="K140" s="1105">
        <f t="shared" si="4"/>
        <v>1374.3</v>
      </c>
      <c r="L140" s="1165">
        <v>1945</v>
      </c>
      <c r="M140" s="1165">
        <v>1253</v>
      </c>
      <c r="N140" s="1165">
        <v>1374</v>
      </c>
      <c r="O140" s="1106"/>
      <c r="P140" s="1106">
        <f>L140-N140</f>
        <v>571</v>
      </c>
      <c r="Q140" s="270" t="s">
        <v>2243</v>
      </c>
    </row>
    <row r="141" spans="1:17" ht="56.25">
      <c r="A141" s="1104">
        <v>7</v>
      </c>
      <c r="B141" s="208" t="s">
        <v>3168</v>
      </c>
      <c r="C141" s="270" t="s">
        <v>89</v>
      </c>
      <c r="D141" s="270"/>
      <c r="E141" s="270" t="s">
        <v>716</v>
      </c>
      <c r="F141" s="469" t="s">
        <v>3161</v>
      </c>
      <c r="G141" s="460"/>
      <c r="H141" s="270" t="s">
        <v>2956</v>
      </c>
      <c r="I141" s="469"/>
      <c r="J141" s="1167">
        <v>1500</v>
      </c>
      <c r="K141" s="1105">
        <f t="shared" si="4"/>
        <v>1350</v>
      </c>
      <c r="L141" s="1165"/>
      <c r="M141" s="1165"/>
      <c r="N141" s="1165">
        <v>1020</v>
      </c>
      <c r="O141" s="1106">
        <f>N141-L141</f>
        <v>1020</v>
      </c>
      <c r="P141" s="1106"/>
      <c r="Q141" s="270" t="s">
        <v>2385</v>
      </c>
    </row>
    <row r="142" spans="1:17" s="1161" customFormat="1" ht="38.25" customHeight="1">
      <c r="A142" s="1104"/>
      <c r="B142" s="1118" t="s">
        <v>3169</v>
      </c>
      <c r="C142" s="270"/>
      <c r="D142" s="464"/>
      <c r="E142" s="270"/>
      <c r="F142" s="270"/>
      <c r="G142" s="270"/>
      <c r="H142" s="270"/>
      <c r="I142" s="469"/>
      <c r="J142" s="1155">
        <f>SUM(J144:J149)</f>
        <v>17766</v>
      </c>
      <c r="K142" s="1155">
        <f>SUM(K144:K149)</f>
        <v>15989.4</v>
      </c>
      <c r="L142" s="1155">
        <f t="shared" ref="L142:P142" si="30">SUM(L144:L149)</f>
        <v>15200</v>
      </c>
      <c r="M142" s="1155">
        <f t="shared" si="30"/>
        <v>11578</v>
      </c>
      <c r="N142" s="1155">
        <f t="shared" si="30"/>
        <v>15400</v>
      </c>
      <c r="O142" s="1155">
        <f t="shared" si="30"/>
        <v>1883</v>
      </c>
      <c r="P142" s="1155">
        <f t="shared" si="30"/>
        <v>1683</v>
      </c>
      <c r="Q142" s="1098"/>
    </row>
    <row r="143" spans="1:17" s="1161" customFormat="1" ht="48.75" customHeight="1">
      <c r="A143" s="1104"/>
      <c r="B143" s="1103" t="s">
        <v>685</v>
      </c>
      <c r="C143" s="270"/>
      <c r="D143" s="464"/>
      <c r="E143" s="270"/>
      <c r="F143" s="270"/>
      <c r="G143" s="270"/>
      <c r="H143" s="270"/>
      <c r="I143" s="469"/>
      <c r="J143" s="1155"/>
      <c r="K143" s="1155"/>
      <c r="L143" s="1155"/>
      <c r="M143" s="1155"/>
      <c r="N143" s="1155"/>
      <c r="O143" s="1106">
        <f>N143-L143</f>
        <v>0</v>
      </c>
      <c r="P143" s="1155"/>
      <c r="Q143" s="1098"/>
    </row>
    <row r="144" spans="1:17" s="1163" customFormat="1" ht="81" customHeight="1">
      <c r="A144" s="1104">
        <v>1</v>
      </c>
      <c r="B144" s="1164" t="s">
        <v>3170</v>
      </c>
      <c r="C144" s="270" t="s">
        <v>89</v>
      </c>
      <c r="D144" s="469">
        <v>7913468</v>
      </c>
      <c r="E144" s="270" t="s">
        <v>716</v>
      </c>
      <c r="F144" s="270" t="s">
        <v>3169</v>
      </c>
      <c r="G144" s="270" t="s">
        <v>1259</v>
      </c>
      <c r="H144" s="270" t="s">
        <v>673</v>
      </c>
      <c r="I144" s="270" t="s">
        <v>3171</v>
      </c>
      <c r="J144" s="1105">
        <v>2500</v>
      </c>
      <c r="K144" s="1105">
        <f t="shared" si="4"/>
        <v>2250</v>
      </c>
      <c r="L144" s="1106">
        <f>2122</f>
        <v>2122</v>
      </c>
      <c r="M144" s="1106">
        <v>2122</v>
      </c>
      <c r="N144" s="1106">
        <v>2122</v>
      </c>
      <c r="O144" s="1106">
        <f>N144-L144</f>
        <v>0</v>
      </c>
      <c r="P144" s="1106"/>
      <c r="Q144" s="1112"/>
    </row>
    <row r="145" spans="1:17" s="1163" customFormat="1" ht="60" customHeight="1">
      <c r="A145" s="1104">
        <v>2</v>
      </c>
      <c r="B145" s="1164" t="s">
        <v>3172</v>
      </c>
      <c r="C145" s="270" t="s">
        <v>89</v>
      </c>
      <c r="D145" s="469">
        <v>7964747</v>
      </c>
      <c r="E145" s="270" t="s">
        <v>716</v>
      </c>
      <c r="F145" s="469" t="s">
        <v>3169</v>
      </c>
      <c r="G145" s="270" t="s">
        <v>1341</v>
      </c>
      <c r="H145" s="270" t="s">
        <v>1318</v>
      </c>
      <c r="I145" s="270" t="s">
        <v>3173</v>
      </c>
      <c r="J145" s="1165">
        <v>5300</v>
      </c>
      <c r="K145" s="1105">
        <f t="shared" si="4"/>
        <v>4770</v>
      </c>
      <c r="L145" s="1106">
        <v>4698</v>
      </c>
      <c r="M145" s="1106">
        <v>4498</v>
      </c>
      <c r="N145" s="1106">
        <v>4498</v>
      </c>
      <c r="O145" s="1106"/>
      <c r="P145" s="1106">
        <f>L145-N145</f>
        <v>200</v>
      </c>
      <c r="Q145" s="1112" t="s">
        <v>2243</v>
      </c>
    </row>
    <row r="146" spans="1:17" s="1166" customFormat="1" ht="72.75" customHeight="1">
      <c r="A146" s="1104">
        <v>3</v>
      </c>
      <c r="B146" s="1164" t="s">
        <v>3174</v>
      </c>
      <c r="C146" s="270" t="s">
        <v>89</v>
      </c>
      <c r="D146" s="270">
        <v>8010412</v>
      </c>
      <c r="E146" s="270" t="s">
        <v>2872</v>
      </c>
      <c r="F146" s="469" t="s">
        <v>3175</v>
      </c>
      <c r="G146" s="460" t="s">
        <v>2883</v>
      </c>
      <c r="H146" s="270" t="s">
        <v>1480</v>
      </c>
      <c r="I146" s="270" t="s">
        <v>3176</v>
      </c>
      <c r="J146" s="1165">
        <v>2156</v>
      </c>
      <c r="K146" s="1105">
        <f t="shared" si="4"/>
        <v>1940.4</v>
      </c>
      <c r="L146" s="1165">
        <v>1940</v>
      </c>
      <c r="M146" s="1165">
        <v>1758</v>
      </c>
      <c r="N146" s="1165">
        <v>1758</v>
      </c>
      <c r="O146" s="1106"/>
      <c r="P146" s="1106">
        <f>L146-N146</f>
        <v>182</v>
      </c>
      <c r="Q146" s="270" t="s">
        <v>2990</v>
      </c>
    </row>
    <row r="147" spans="1:17" s="1166" customFormat="1" ht="69.75" customHeight="1">
      <c r="A147" s="1104">
        <v>4</v>
      </c>
      <c r="B147" s="1164" t="s">
        <v>3177</v>
      </c>
      <c r="C147" s="270" t="s">
        <v>89</v>
      </c>
      <c r="D147" s="270">
        <v>8067689</v>
      </c>
      <c r="E147" s="270" t="s">
        <v>2872</v>
      </c>
      <c r="F147" s="469" t="s">
        <v>3175</v>
      </c>
      <c r="G147" s="460" t="s">
        <v>1370</v>
      </c>
      <c r="H147" s="270" t="s">
        <v>1480</v>
      </c>
      <c r="I147" s="270" t="s">
        <v>3178</v>
      </c>
      <c r="J147" s="1167">
        <v>3719</v>
      </c>
      <c r="K147" s="1105">
        <f t="shared" si="4"/>
        <v>3347.1</v>
      </c>
      <c r="L147" s="1165">
        <v>4140</v>
      </c>
      <c r="M147" s="1165">
        <v>1800</v>
      </c>
      <c r="N147" s="1165">
        <v>3347</v>
      </c>
      <c r="O147" s="1106"/>
      <c r="P147" s="1106">
        <f>L147-N147</f>
        <v>793</v>
      </c>
      <c r="Q147" s="270" t="s">
        <v>2990</v>
      </c>
    </row>
    <row r="148" spans="1:17" s="1166" customFormat="1" ht="37.5">
      <c r="A148" s="1104">
        <v>5</v>
      </c>
      <c r="B148" s="1164" t="s">
        <v>3179</v>
      </c>
      <c r="C148" s="270" t="s">
        <v>89</v>
      </c>
      <c r="D148" s="270">
        <v>8068598</v>
      </c>
      <c r="E148" s="270" t="s">
        <v>2872</v>
      </c>
      <c r="F148" s="469" t="s">
        <v>3175</v>
      </c>
      <c r="G148" s="460" t="s">
        <v>1370</v>
      </c>
      <c r="H148" s="270" t="s">
        <v>1480</v>
      </c>
      <c r="I148" s="270" t="s">
        <v>3180</v>
      </c>
      <c r="J148" s="1167">
        <v>1991</v>
      </c>
      <c r="K148" s="1105">
        <f t="shared" si="4"/>
        <v>1791.9</v>
      </c>
      <c r="L148" s="1165">
        <v>2300</v>
      </c>
      <c r="M148" s="1165">
        <v>1400</v>
      </c>
      <c r="N148" s="1165">
        <v>1792</v>
      </c>
      <c r="O148" s="1106"/>
      <c r="P148" s="1106">
        <f>L148-N148</f>
        <v>508</v>
      </c>
      <c r="Q148" s="270" t="s">
        <v>2243</v>
      </c>
    </row>
    <row r="149" spans="1:17" s="1166" customFormat="1" ht="56.25">
      <c r="A149" s="1104">
        <v>6</v>
      </c>
      <c r="B149" s="1164" t="s">
        <v>3181</v>
      </c>
      <c r="C149" s="270" t="s">
        <v>89</v>
      </c>
      <c r="D149" s="270"/>
      <c r="E149" s="270" t="s">
        <v>2872</v>
      </c>
      <c r="F149" s="469" t="s">
        <v>3175</v>
      </c>
      <c r="G149" s="460"/>
      <c r="H149" s="270" t="s">
        <v>2956</v>
      </c>
      <c r="I149" s="270"/>
      <c r="J149" s="1167">
        <v>2100</v>
      </c>
      <c r="K149" s="1105">
        <f t="shared" si="4"/>
        <v>1890</v>
      </c>
      <c r="L149" s="1165"/>
      <c r="M149" s="1165"/>
      <c r="N149" s="1165">
        <v>1883</v>
      </c>
      <c r="O149" s="1106">
        <f>N149-L149</f>
        <v>1883</v>
      </c>
      <c r="P149" s="1106"/>
      <c r="Q149" s="270" t="s">
        <v>2385</v>
      </c>
    </row>
    <row r="150" spans="1:17" s="1163" customFormat="1" ht="36.75" customHeight="1">
      <c r="A150" s="1104"/>
      <c r="B150" s="1118" t="s">
        <v>3182</v>
      </c>
      <c r="C150" s="270"/>
      <c r="D150" s="469"/>
      <c r="E150" s="270"/>
      <c r="F150" s="469"/>
      <c r="G150" s="270"/>
      <c r="H150" s="270"/>
      <c r="I150" s="270"/>
      <c r="J150" s="1174">
        <f>SUM(J152:J156)</f>
        <v>18401</v>
      </c>
      <c r="K150" s="1174">
        <f t="shared" ref="K150:P150" si="31">SUM(K152:K156)</f>
        <v>16560.900000000001</v>
      </c>
      <c r="L150" s="1174">
        <f t="shared" si="31"/>
        <v>12275</v>
      </c>
      <c r="M150" s="1174">
        <f t="shared" si="31"/>
        <v>12100</v>
      </c>
      <c r="N150" s="1174">
        <f t="shared" si="31"/>
        <v>12100</v>
      </c>
      <c r="O150" s="1174">
        <f t="shared" si="31"/>
        <v>0</v>
      </c>
      <c r="P150" s="1174">
        <f t="shared" si="31"/>
        <v>175</v>
      </c>
      <c r="Q150" s="1112"/>
    </row>
    <row r="151" spans="1:17" s="1163" customFormat="1" ht="48.75" customHeight="1">
      <c r="A151" s="1104"/>
      <c r="B151" s="1103" t="s">
        <v>685</v>
      </c>
      <c r="C151" s="270"/>
      <c r="D151" s="469"/>
      <c r="E151" s="270"/>
      <c r="F151" s="469"/>
      <c r="G151" s="270"/>
      <c r="H151" s="270"/>
      <c r="I151" s="270"/>
      <c r="J151" s="1174"/>
      <c r="K151" s="1174"/>
      <c r="L151" s="1174"/>
      <c r="M151" s="1174"/>
      <c r="N151" s="1174"/>
      <c r="O151" s="1106">
        <f>N151-L151</f>
        <v>0</v>
      </c>
      <c r="P151" s="1174"/>
      <c r="Q151" s="1112"/>
    </row>
    <row r="152" spans="1:17" s="1163" customFormat="1" ht="84" customHeight="1">
      <c r="A152" s="1104">
        <v>1</v>
      </c>
      <c r="B152" s="1164" t="s">
        <v>3183</v>
      </c>
      <c r="C152" s="270" t="s">
        <v>89</v>
      </c>
      <c r="D152" s="469">
        <v>791346</v>
      </c>
      <c r="E152" s="270" t="s">
        <v>716</v>
      </c>
      <c r="F152" s="270" t="s">
        <v>3182</v>
      </c>
      <c r="G152" s="270" t="s">
        <v>1341</v>
      </c>
      <c r="H152" s="270" t="s">
        <v>673</v>
      </c>
      <c r="I152" s="270" t="s">
        <v>3184</v>
      </c>
      <c r="J152" s="1105">
        <v>3500</v>
      </c>
      <c r="K152" s="1105">
        <f t="shared" si="4"/>
        <v>3150</v>
      </c>
      <c r="L152" s="1106">
        <f>3061</f>
        <v>3061</v>
      </c>
      <c r="M152" s="1106">
        <v>3061</v>
      </c>
      <c r="N152" s="1106">
        <v>3061</v>
      </c>
      <c r="O152" s="1106">
        <f>N152-L152</f>
        <v>0</v>
      </c>
      <c r="P152" s="1106"/>
      <c r="Q152" s="1112"/>
    </row>
    <row r="153" spans="1:17" s="1163" customFormat="1" ht="37.5">
      <c r="A153" s="1104">
        <v>2</v>
      </c>
      <c r="B153" s="1164" t="s">
        <v>3185</v>
      </c>
      <c r="C153" s="270" t="s">
        <v>89</v>
      </c>
      <c r="D153" s="469">
        <v>7913467</v>
      </c>
      <c r="E153" s="270" t="s">
        <v>716</v>
      </c>
      <c r="F153" s="469" t="s">
        <v>3182</v>
      </c>
      <c r="G153" s="270" t="s">
        <v>1341</v>
      </c>
      <c r="H153" s="270" t="s">
        <v>1318</v>
      </c>
      <c r="I153" s="270" t="s">
        <v>3186</v>
      </c>
      <c r="J153" s="1165">
        <v>6480</v>
      </c>
      <c r="K153" s="1105">
        <f t="shared" si="4"/>
        <v>5832</v>
      </c>
      <c r="L153" s="1106">
        <f>3714</f>
        <v>3714</v>
      </c>
      <c r="M153" s="1106">
        <v>3714</v>
      </c>
      <c r="N153" s="1106">
        <v>3714</v>
      </c>
      <c r="O153" s="1106">
        <f>N153-L153</f>
        <v>0</v>
      </c>
      <c r="P153" s="1106"/>
      <c r="Q153" s="1112"/>
    </row>
    <row r="154" spans="1:17" s="1166" customFormat="1" ht="102.75" customHeight="1">
      <c r="A154" s="1104">
        <v>3</v>
      </c>
      <c r="B154" s="1164" t="s">
        <v>3187</v>
      </c>
      <c r="C154" s="270" t="s">
        <v>89</v>
      </c>
      <c r="D154" s="469">
        <v>8010416</v>
      </c>
      <c r="E154" s="270" t="s">
        <v>716</v>
      </c>
      <c r="F154" s="469" t="s">
        <v>3188</v>
      </c>
      <c r="G154" s="460" t="s">
        <v>2865</v>
      </c>
      <c r="H154" s="270" t="s">
        <v>1480</v>
      </c>
      <c r="I154" s="270" t="s">
        <v>3189</v>
      </c>
      <c r="J154" s="1165">
        <v>2631</v>
      </c>
      <c r="K154" s="1105">
        <f t="shared" si="4"/>
        <v>2367.9</v>
      </c>
      <c r="L154" s="1165">
        <v>2300</v>
      </c>
      <c r="M154" s="1165">
        <v>2160</v>
      </c>
      <c r="N154" s="1165">
        <v>2160</v>
      </c>
      <c r="O154" s="1106"/>
      <c r="P154" s="1106">
        <f>L154-N154</f>
        <v>140</v>
      </c>
      <c r="Q154" s="1112" t="s">
        <v>2243</v>
      </c>
    </row>
    <row r="155" spans="1:17" s="1166" customFormat="1" ht="110.25" customHeight="1">
      <c r="A155" s="1104">
        <v>4</v>
      </c>
      <c r="B155" s="1164" t="s">
        <v>3190</v>
      </c>
      <c r="C155" s="270" t="s">
        <v>89</v>
      </c>
      <c r="D155" s="469">
        <v>8010411</v>
      </c>
      <c r="E155" s="270" t="s">
        <v>716</v>
      </c>
      <c r="F155" s="469" t="s">
        <v>3188</v>
      </c>
      <c r="G155" s="460" t="s">
        <v>2865</v>
      </c>
      <c r="H155" s="270" t="s">
        <v>1480</v>
      </c>
      <c r="I155" s="270" t="s">
        <v>3191</v>
      </c>
      <c r="J155" s="1165">
        <v>3790</v>
      </c>
      <c r="K155" s="1105">
        <f t="shared" si="4"/>
        <v>3411</v>
      </c>
      <c r="L155" s="1165">
        <v>3200</v>
      </c>
      <c r="M155" s="1165">
        <v>3165</v>
      </c>
      <c r="N155" s="1165">
        <v>3165</v>
      </c>
      <c r="O155" s="1106"/>
      <c r="P155" s="1106">
        <f>L155-N155</f>
        <v>35</v>
      </c>
      <c r="Q155" s="1112" t="s">
        <v>2243</v>
      </c>
    </row>
    <row r="156" spans="1:17" s="1166" customFormat="1" ht="51" customHeight="1">
      <c r="A156" s="1104">
        <v>5</v>
      </c>
      <c r="B156" s="1164" t="s">
        <v>3192</v>
      </c>
      <c r="C156" s="270" t="s">
        <v>89</v>
      </c>
      <c r="D156" s="469"/>
      <c r="E156" s="270" t="s">
        <v>716</v>
      </c>
      <c r="F156" s="469" t="s">
        <v>3188</v>
      </c>
      <c r="G156" s="460"/>
      <c r="H156" s="270" t="s">
        <v>1480</v>
      </c>
      <c r="I156" s="1165"/>
      <c r="J156" s="1165">
        <v>2000</v>
      </c>
      <c r="K156" s="1105">
        <f t="shared" si="4"/>
        <v>1800</v>
      </c>
      <c r="L156" s="1165"/>
      <c r="M156" s="1165"/>
      <c r="N156" s="1165"/>
      <c r="O156" s="1106">
        <f>N156-L156</f>
        <v>0</v>
      </c>
      <c r="P156" s="1106"/>
      <c r="Q156" s="270" t="s">
        <v>3051</v>
      </c>
    </row>
    <row r="157" spans="1:17" s="1163" customFormat="1" ht="34.5" customHeight="1">
      <c r="A157" s="1104"/>
      <c r="B157" s="1118" t="s">
        <v>3193</v>
      </c>
      <c r="C157" s="270"/>
      <c r="D157" s="469"/>
      <c r="E157" s="270"/>
      <c r="F157" s="270"/>
      <c r="G157" s="270"/>
      <c r="H157" s="270"/>
      <c r="I157" s="270"/>
      <c r="J157" s="1119">
        <f>SUM(J159:J162)</f>
        <v>21300</v>
      </c>
      <c r="K157" s="1119">
        <f>SUM(K159:K162)</f>
        <v>19170</v>
      </c>
      <c r="L157" s="1119">
        <f t="shared" ref="L157:P157" si="32">SUM(L159:L162)</f>
        <v>15500</v>
      </c>
      <c r="M157" s="1119">
        <f t="shared" si="32"/>
        <v>14610</v>
      </c>
      <c r="N157" s="1119">
        <f t="shared" si="32"/>
        <v>15733</v>
      </c>
      <c r="O157" s="1119">
        <f t="shared" si="32"/>
        <v>1180</v>
      </c>
      <c r="P157" s="1119">
        <f t="shared" si="32"/>
        <v>947</v>
      </c>
      <c r="Q157" s="1112"/>
    </row>
    <row r="158" spans="1:17" s="1163" customFormat="1" ht="46.5" customHeight="1">
      <c r="A158" s="1104"/>
      <c r="B158" s="1103" t="s">
        <v>685</v>
      </c>
      <c r="C158" s="270"/>
      <c r="D158" s="469"/>
      <c r="E158" s="270"/>
      <c r="F158" s="270"/>
      <c r="G158" s="270"/>
      <c r="H158" s="270"/>
      <c r="I158" s="270"/>
      <c r="J158" s="1119"/>
      <c r="K158" s="1119"/>
      <c r="L158" s="1119"/>
      <c r="M158" s="1119"/>
      <c r="N158" s="1119"/>
      <c r="O158" s="1106">
        <f>N158-L158</f>
        <v>0</v>
      </c>
      <c r="P158" s="1119"/>
      <c r="Q158" s="1112"/>
    </row>
    <row r="159" spans="1:17" s="1163" customFormat="1" ht="81" customHeight="1">
      <c r="A159" s="1104">
        <v>1</v>
      </c>
      <c r="B159" s="1164" t="s">
        <v>3194</v>
      </c>
      <c r="C159" s="270" t="s">
        <v>89</v>
      </c>
      <c r="D159" s="469">
        <v>7913469</v>
      </c>
      <c r="E159" s="270" t="s">
        <v>716</v>
      </c>
      <c r="F159" s="270" t="s">
        <v>3193</v>
      </c>
      <c r="G159" s="270" t="s">
        <v>1259</v>
      </c>
      <c r="H159" s="270" t="s">
        <v>673</v>
      </c>
      <c r="I159" s="270" t="s">
        <v>3195</v>
      </c>
      <c r="J159" s="1105">
        <v>2937</v>
      </c>
      <c r="K159" s="1105">
        <f t="shared" si="4"/>
        <v>2643.3</v>
      </c>
      <c r="L159" s="1106">
        <f>2489</f>
        <v>2489</v>
      </c>
      <c r="M159" s="1106">
        <v>2489</v>
      </c>
      <c r="N159" s="1106">
        <v>2489</v>
      </c>
      <c r="O159" s="1106">
        <f>N159-L159</f>
        <v>0</v>
      </c>
      <c r="P159" s="1106"/>
      <c r="Q159" s="1112"/>
    </row>
    <row r="160" spans="1:17" s="1163" customFormat="1" ht="37.5">
      <c r="A160" s="1104">
        <v>2</v>
      </c>
      <c r="B160" s="1164" t="s">
        <v>3196</v>
      </c>
      <c r="C160" s="270" t="s">
        <v>89</v>
      </c>
      <c r="D160" s="469">
        <v>7964748</v>
      </c>
      <c r="E160" s="270" t="s">
        <v>716</v>
      </c>
      <c r="F160" s="469" t="s">
        <v>3193</v>
      </c>
      <c r="G160" s="270" t="s">
        <v>1259</v>
      </c>
      <c r="H160" s="270" t="s">
        <v>1318</v>
      </c>
      <c r="I160" s="270" t="s">
        <v>3197</v>
      </c>
      <c r="J160" s="1165">
        <v>11470</v>
      </c>
      <c r="K160" s="1105">
        <f t="shared" si="4"/>
        <v>10323</v>
      </c>
      <c r="L160" s="1106">
        <v>7987</v>
      </c>
      <c r="M160" s="1106">
        <f>6987+55</f>
        <v>7042</v>
      </c>
      <c r="N160" s="1106">
        <v>7042</v>
      </c>
      <c r="O160" s="1106"/>
      <c r="P160" s="1106">
        <f>L160-N160</f>
        <v>945</v>
      </c>
      <c r="Q160" s="1112" t="s">
        <v>2243</v>
      </c>
    </row>
    <row r="161" spans="1:17" s="1166" customFormat="1" ht="37.5">
      <c r="A161" s="1104">
        <v>3</v>
      </c>
      <c r="B161" s="1164" t="s">
        <v>3198</v>
      </c>
      <c r="C161" s="270" t="s">
        <v>89</v>
      </c>
      <c r="D161" s="469">
        <v>8013129</v>
      </c>
      <c r="E161" s="270" t="s">
        <v>716</v>
      </c>
      <c r="F161" s="469" t="s">
        <v>1718</v>
      </c>
      <c r="G161" s="460" t="s">
        <v>1368</v>
      </c>
      <c r="H161" s="270" t="s">
        <v>1480</v>
      </c>
      <c r="I161" s="270" t="s">
        <v>3199</v>
      </c>
      <c r="J161" s="1165">
        <v>3662</v>
      </c>
      <c r="K161" s="1105">
        <f t="shared" si="4"/>
        <v>3295.8</v>
      </c>
      <c r="L161" s="1106">
        <v>3296</v>
      </c>
      <c r="M161" s="1106">
        <f>2550+614</f>
        <v>3164</v>
      </c>
      <c r="N161" s="1106">
        <v>3294</v>
      </c>
      <c r="O161" s="1106"/>
      <c r="P161" s="1106">
        <f>L161-N161</f>
        <v>2</v>
      </c>
      <c r="Q161" s="1112" t="s">
        <v>2243</v>
      </c>
    </row>
    <row r="162" spans="1:17" s="1166" customFormat="1" ht="37.5">
      <c r="A162" s="1104">
        <v>4</v>
      </c>
      <c r="B162" s="1164" t="s">
        <v>3200</v>
      </c>
      <c r="C162" s="270" t="s">
        <v>89</v>
      </c>
      <c r="D162" s="270">
        <v>8067682</v>
      </c>
      <c r="E162" s="270" t="s">
        <v>716</v>
      </c>
      <c r="F162" s="469" t="s">
        <v>1718</v>
      </c>
      <c r="G162" s="460" t="s">
        <v>1370</v>
      </c>
      <c r="H162" s="270" t="s">
        <v>1480</v>
      </c>
      <c r="I162" s="270" t="s">
        <v>3201</v>
      </c>
      <c r="J162" s="1167">
        <v>3231</v>
      </c>
      <c r="K162" s="1105">
        <f t="shared" si="4"/>
        <v>2907.9</v>
      </c>
      <c r="L162" s="1106">
        <v>1728</v>
      </c>
      <c r="M162" s="1106">
        <v>1915</v>
      </c>
      <c r="N162" s="1106">
        <v>2908</v>
      </c>
      <c r="O162" s="1106">
        <f>N162-L162</f>
        <v>1180</v>
      </c>
      <c r="P162" s="1106"/>
      <c r="Q162" s="1112" t="s">
        <v>2566</v>
      </c>
    </row>
    <row r="163" spans="1:17" s="1161" customFormat="1" ht="39" customHeight="1">
      <c r="A163" s="1104"/>
      <c r="B163" s="1118" t="s">
        <v>3202</v>
      </c>
      <c r="C163" s="270"/>
      <c r="D163" s="1086"/>
      <c r="E163" s="1134"/>
      <c r="F163" s="1134"/>
      <c r="G163" s="1134"/>
      <c r="H163" s="1134"/>
      <c r="I163" s="1134"/>
      <c r="J163" s="1119">
        <f>SUM(J165:J169)</f>
        <v>21069</v>
      </c>
      <c r="K163" s="1119">
        <f t="shared" ref="K163:P163" si="33">SUM(K165:K169)</f>
        <v>18962.099999999999</v>
      </c>
      <c r="L163" s="1119">
        <f t="shared" si="33"/>
        <v>15300</v>
      </c>
      <c r="M163" s="1119">
        <f t="shared" si="33"/>
        <v>14417</v>
      </c>
      <c r="N163" s="1119">
        <f t="shared" si="33"/>
        <v>15082</v>
      </c>
      <c r="O163" s="1119">
        <f t="shared" si="33"/>
        <v>812</v>
      </c>
      <c r="P163" s="1119">
        <f t="shared" si="33"/>
        <v>1030</v>
      </c>
      <c r="Q163" s="1136"/>
    </row>
    <row r="164" spans="1:17" s="1161" customFormat="1" ht="42.75" customHeight="1">
      <c r="A164" s="1104"/>
      <c r="B164" s="1103" t="s">
        <v>685</v>
      </c>
      <c r="C164" s="270"/>
      <c r="D164" s="1086"/>
      <c r="E164" s="1134"/>
      <c r="F164" s="1134"/>
      <c r="G164" s="1134"/>
      <c r="H164" s="1134"/>
      <c r="I164" s="1134"/>
      <c r="J164" s="1119"/>
      <c r="K164" s="1119"/>
      <c r="L164" s="1119"/>
      <c r="M164" s="1119"/>
      <c r="N164" s="1119"/>
      <c r="O164" s="1106">
        <f>N164-L164</f>
        <v>0</v>
      </c>
      <c r="P164" s="1119"/>
      <c r="Q164" s="1136"/>
    </row>
    <row r="165" spans="1:17" s="1163" customFormat="1" ht="86.25" customHeight="1">
      <c r="A165" s="1104">
        <v>1</v>
      </c>
      <c r="B165" s="1164" t="s">
        <v>3203</v>
      </c>
      <c r="C165" s="270" t="s">
        <v>89</v>
      </c>
      <c r="D165" s="469">
        <v>7913471</v>
      </c>
      <c r="E165" s="270" t="s">
        <v>716</v>
      </c>
      <c r="F165" s="270" t="s">
        <v>3202</v>
      </c>
      <c r="G165" s="270" t="s">
        <v>1259</v>
      </c>
      <c r="H165" s="270" t="s">
        <v>673</v>
      </c>
      <c r="I165" s="270" t="s">
        <v>3204</v>
      </c>
      <c r="J165" s="1105">
        <v>3900</v>
      </c>
      <c r="K165" s="1105">
        <f t="shared" si="4"/>
        <v>3510</v>
      </c>
      <c r="L165" s="1106">
        <v>3150</v>
      </c>
      <c r="M165" s="1106">
        <v>3150</v>
      </c>
      <c r="N165" s="1106">
        <v>3150</v>
      </c>
      <c r="O165" s="1106">
        <f>N165-L165</f>
        <v>0</v>
      </c>
      <c r="P165" s="1106"/>
      <c r="Q165" s="1112"/>
    </row>
    <row r="166" spans="1:17" s="1163" customFormat="1" ht="37.5">
      <c r="A166" s="1104">
        <v>2</v>
      </c>
      <c r="B166" s="1164" t="s">
        <v>3205</v>
      </c>
      <c r="C166" s="270" t="s">
        <v>89</v>
      </c>
      <c r="D166" s="469">
        <v>7965269</v>
      </c>
      <c r="E166" s="270" t="s">
        <v>716</v>
      </c>
      <c r="F166" s="469" t="s">
        <v>3202</v>
      </c>
      <c r="G166" s="270" t="s">
        <v>1259</v>
      </c>
      <c r="H166" s="270" t="s">
        <v>1318</v>
      </c>
      <c r="I166" s="270" t="s">
        <v>3206</v>
      </c>
      <c r="J166" s="1165">
        <v>4900</v>
      </c>
      <c r="K166" s="1105">
        <f t="shared" si="4"/>
        <v>4410</v>
      </c>
      <c r="L166" s="1106">
        <v>4170</v>
      </c>
      <c r="M166" s="1106">
        <v>3870</v>
      </c>
      <c r="N166" s="1106">
        <v>3870</v>
      </c>
      <c r="O166" s="1106"/>
      <c r="P166" s="1106">
        <f>L166-N166</f>
        <v>300</v>
      </c>
      <c r="Q166" s="1112" t="s">
        <v>2243</v>
      </c>
    </row>
    <row r="167" spans="1:17" s="1166" customFormat="1" ht="37.5">
      <c r="A167" s="1104">
        <v>3</v>
      </c>
      <c r="B167" s="1164" t="s">
        <v>3207</v>
      </c>
      <c r="C167" s="270" t="s">
        <v>89</v>
      </c>
      <c r="D167" s="469">
        <v>8013128</v>
      </c>
      <c r="E167" s="270" t="s">
        <v>716</v>
      </c>
      <c r="F167" s="469" t="s">
        <v>721</v>
      </c>
      <c r="G167" s="460" t="s">
        <v>1368</v>
      </c>
      <c r="H167" s="270" t="s">
        <v>1480</v>
      </c>
      <c r="I167" s="270" t="s">
        <v>3208</v>
      </c>
      <c r="J167" s="1165">
        <v>7620</v>
      </c>
      <c r="K167" s="1105">
        <f>J167*0.9</f>
        <v>6858</v>
      </c>
      <c r="L167" s="1106">
        <v>6858</v>
      </c>
      <c r="M167" s="1106">
        <f>3594+2403</f>
        <v>5997</v>
      </c>
      <c r="N167" s="1106">
        <v>6128</v>
      </c>
      <c r="O167" s="1106"/>
      <c r="P167" s="1106">
        <f>L167-N167</f>
        <v>730</v>
      </c>
      <c r="Q167" s="1112" t="s">
        <v>2243</v>
      </c>
    </row>
    <row r="168" spans="1:17" s="1166" customFormat="1" ht="52.5" customHeight="1">
      <c r="A168" s="1104">
        <v>4</v>
      </c>
      <c r="B168" s="1164" t="s">
        <v>3209</v>
      </c>
      <c r="C168" s="270" t="s">
        <v>89</v>
      </c>
      <c r="D168" s="469"/>
      <c r="E168" s="270" t="s">
        <v>716</v>
      </c>
      <c r="F168" s="469" t="s">
        <v>721</v>
      </c>
      <c r="G168" s="460" t="s">
        <v>1368</v>
      </c>
      <c r="H168" s="270" t="s">
        <v>1480</v>
      </c>
      <c r="I168" s="1165"/>
      <c r="J168" s="1165">
        <v>2500</v>
      </c>
      <c r="K168" s="1105">
        <f>J168*0.9</f>
        <v>2250</v>
      </c>
      <c r="L168" s="1106"/>
      <c r="M168" s="1106"/>
      <c r="N168" s="1106"/>
      <c r="O168" s="1106">
        <f>N168-L168</f>
        <v>0</v>
      </c>
      <c r="P168" s="1106"/>
      <c r="Q168" s="270" t="s">
        <v>3051</v>
      </c>
    </row>
    <row r="169" spans="1:17" s="1166" customFormat="1" ht="67.5" customHeight="1">
      <c r="A169" s="1104">
        <v>5</v>
      </c>
      <c r="B169" s="1164" t="s">
        <v>3210</v>
      </c>
      <c r="C169" s="270" t="s">
        <v>89</v>
      </c>
      <c r="D169" s="270">
        <v>8067690</v>
      </c>
      <c r="E169" s="270" t="s">
        <v>716</v>
      </c>
      <c r="F169" s="469" t="s">
        <v>721</v>
      </c>
      <c r="G169" s="460" t="s">
        <v>1370</v>
      </c>
      <c r="H169" s="270" t="s">
        <v>1480</v>
      </c>
      <c r="I169" s="270" t="s">
        <v>3211</v>
      </c>
      <c r="J169" s="1167">
        <v>2149</v>
      </c>
      <c r="K169" s="1105">
        <f>J169*0.9</f>
        <v>1934.1000000000001</v>
      </c>
      <c r="L169" s="1106">
        <v>1122</v>
      </c>
      <c r="M169" s="1106">
        <v>1400</v>
      </c>
      <c r="N169" s="1106">
        <v>1934</v>
      </c>
      <c r="O169" s="1106">
        <f>N169-L169</f>
        <v>812</v>
      </c>
      <c r="P169" s="1106"/>
      <c r="Q169" s="270" t="s">
        <v>2566</v>
      </c>
    </row>
    <row r="170" spans="1:17" s="1161" customFormat="1" ht="41.25" customHeight="1">
      <c r="A170" s="1095"/>
      <c r="B170" s="1118" t="s">
        <v>3212</v>
      </c>
      <c r="C170" s="270"/>
      <c r="D170" s="1086"/>
      <c r="E170" s="1134"/>
      <c r="F170" s="1134"/>
      <c r="G170" s="1134"/>
      <c r="H170" s="1134"/>
      <c r="I170" s="1134"/>
      <c r="J170" s="1119">
        <f>SUM(J172:J176)</f>
        <v>17970</v>
      </c>
      <c r="K170" s="1119">
        <f t="shared" ref="K170:P170" si="34">SUM(K172:K176)</f>
        <v>16173.000000000002</v>
      </c>
      <c r="L170" s="1119">
        <f t="shared" si="34"/>
        <v>15770</v>
      </c>
      <c r="M170" s="1119">
        <f t="shared" si="34"/>
        <v>14327</v>
      </c>
      <c r="N170" s="1119">
        <f t="shared" si="34"/>
        <v>15718</v>
      </c>
      <c r="O170" s="1119">
        <f t="shared" si="34"/>
        <v>1170</v>
      </c>
      <c r="P170" s="1119">
        <f t="shared" si="34"/>
        <v>1222</v>
      </c>
      <c r="Q170" s="1136"/>
    </row>
    <row r="171" spans="1:17" s="1161" customFormat="1" ht="47.25" customHeight="1">
      <c r="A171" s="1095"/>
      <c r="B171" s="1103" t="s">
        <v>685</v>
      </c>
      <c r="C171" s="270"/>
      <c r="D171" s="1086"/>
      <c r="E171" s="1134"/>
      <c r="F171" s="1134"/>
      <c r="G171" s="1134"/>
      <c r="H171" s="1134"/>
      <c r="I171" s="1134"/>
      <c r="J171" s="1119"/>
      <c r="K171" s="1119"/>
      <c r="L171" s="1119"/>
      <c r="M171" s="1119"/>
      <c r="N171" s="1119"/>
      <c r="O171" s="1106">
        <f>N171-L171</f>
        <v>0</v>
      </c>
      <c r="P171" s="1119"/>
      <c r="Q171" s="1136"/>
    </row>
    <row r="172" spans="1:17" s="1163" customFormat="1" ht="84" customHeight="1">
      <c r="A172" s="1104">
        <v>1</v>
      </c>
      <c r="B172" s="1164" t="s">
        <v>3213</v>
      </c>
      <c r="C172" s="270" t="s">
        <v>89</v>
      </c>
      <c r="D172" s="469">
        <v>7913472</v>
      </c>
      <c r="E172" s="270" t="s">
        <v>716</v>
      </c>
      <c r="F172" s="270" t="s">
        <v>3212</v>
      </c>
      <c r="G172" s="270" t="s">
        <v>1266</v>
      </c>
      <c r="H172" s="270" t="s">
        <v>637</v>
      </c>
      <c r="I172" s="270" t="s">
        <v>3214</v>
      </c>
      <c r="J172" s="1105">
        <v>1800</v>
      </c>
      <c r="K172" s="1105">
        <f t="shared" ref="K172:K186" si="35">J172*0.9</f>
        <v>1620</v>
      </c>
      <c r="L172" s="1106">
        <v>1569</v>
      </c>
      <c r="M172" s="1106">
        <v>1569</v>
      </c>
      <c r="N172" s="1106">
        <v>1569</v>
      </c>
      <c r="O172" s="1106">
        <f>N172-L172</f>
        <v>0</v>
      </c>
      <c r="P172" s="1106"/>
      <c r="Q172" s="1112"/>
    </row>
    <row r="173" spans="1:17" s="1163" customFormat="1" ht="93.75" customHeight="1">
      <c r="A173" s="1104">
        <v>2</v>
      </c>
      <c r="B173" s="1164" t="s">
        <v>3215</v>
      </c>
      <c r="C173" s="270" t="s">
        <v>89</v>
      </c>
      <c r="D173" s="469">
        <v>7964186</v>
      </c>
      <c r="E173" s="270" t="s">
        <v>716</v>
      </c>
      <c r="F173" s="469" t="s">
        <v>3212</v>
      </c>
      <c r="G173" s="270" t="s">
        <v>1259</v>
      </c>
      <c r="H173" s="270" t="s">
        <v>1318</v>
      </c>
      <c r="I173" s="270" t="s">
        <v>3216</v>
      </c>
      <c r="J173" s="1165">
        <v>4981</v>
      </c>
      <c r="K173" s="1105">
        <f t="shared" si="35"/>
        <v>4482.9000000000005</v>
      </c>
      <c r="L173" s="1106">
        <v>4182</v>
      </c>
      <c r="M173" s="1106">
        <v>4182</v>
      </c>
      <c r="N173" s="1106">
        <v>4182</v>
      </c>
      <c r="O173" s="1106">
        <f>N173-L173</f>
        <v>0</v>
      </c>
      <c r="P173" s="1106"/>
      <c r="Q173" s="1112"/>
    </row>
    <row r="174" spans="1:17" s="1166" customFormat="1" ht="52.5" customHeight="1">
      <c r="A174" s="1104">
        <v>3</v>
      </c>
      <c r="B174" s="208" t="s">
        <v>3217</v>
      </c>
      <c r="C174" s="270" t="s">
        <v>89</v>
      </c>
      <c r="D174" s="469">
        <v>8010418</v>
      </c>
      <c r="E174" s="270" t="s">
        <v>716</v>
      </c>
      <c r="F174" s="469" t="s">
        <v>1714</v>
      </c>
      <c r="G174" s="460" t="s">
        <v>1368</v>
      </c>
      <c r="H174" s="270" t="s">
        <v>1480</v>
      </c>
      <c r="I174" s="270" t="s">
        <v>3218</v>
      </c>
      <c r="J174" s="1165">
        <v>7000</v>
      </c>
      <c r="K174" s="1105">
        <f t="shared" si="35"/>
        <v>6300</v>
      </c>
      <c r="L174" s="1165">
        <v>6300</v>
      </c>
      <c r="M174" s="1165">
        <f>3000+3176</f>
        <v>6176</v>
      </c>
      <c r="N174" s="1165">
        <v>6197</v>
      </c>
      <c r="O174" s="1106"/>
      <c r="P174" s="1106">
        <f>L174-N174</f>
        <v>103</v>
      </c>
      <c r="Q174" s="1112" t="s">
        <v>2243</v>
      </c>
    </row>
    <row r="175" spans="1:17" s="1166" customFormat="1" ht="37.5">
      <c r="A175" s="1104">
        <v>4</v>
      </c>
      <c r="B175" s="208" t="s">
        <v>3219</v>
      </c>
      <c r="C175" s="270" t="s">
        <v>89</v>
      </c>
      <c r="D175" s="270">
        <v>8067683</v>
      </c>
      <c r="E175" s="270" t="s">
        <v>716</v>
      </c>
      <c r="F175" s="469" t="s">
        <v>1714</v>
      </c>
      <c r="G175" s="460" t="s">
        <v>1370</v>
      </c>
      <c r="H175" s="270" t="s">
        <v>1480</v>
      </c>
      <c r="I175" s="270" t="s">
        <v>3220</v>
      </c>
      <c r="J175" s="1165">
        <v>1689</v>
      </c>
      <c r="K175" s="1105">
        <f t="shared" si="35"/>
        <v>1520.1000000000001</v>
      </c>
      <c r="L175" s="1165">
        <v>2639</v>
      </c>
      <c r="M175" s="1165">
        <v>1200</v>
      </c>
      <c r="N175" s="1165">
        <v>1520</v>
      </c>
      <c r="O175" s="1106"/>
      <c r="P175" s="1106">
        <f>L175-N175</f>
        <v>1119</v>
      </c>
      <c r="Q175" s="270" t="s">
        <v>2990</v>
      </c>
    </row>
    <row r="176" spans="1:17" s="1166" customFormat="1" ht="37.5">
      <c r="A176" s="1104">
        <v>5</v>
      </c>
      <c r="B176" s="201" t="s">
        <v>3221</v>
      </c>
      <c r="C176" s="270" t="s">
        <v>89</v>
      </c>
      <c r="D176" s="270">
        <v>8067684</v>
      </c>
      <c r="E176" s="270" t="s">
        <v>716</v>
      </c>
      <c r="F176" s="469" t="s">
        <v>1714</v>
      </c>
      <c r="G176" s="460" t="s">
        <v>2865</v>
      </c>
      <c r="H176" s="270" t="s">
        <v>1480</v>
      </c>
      <c r="I176" s="270" t="s">
        <v>3222</v>
      </c>
      <c r="J176" s="1165">
        <v>2500</v>
      </c>
      <c r="K176" s="1105">
        <f t="shared" si="35"/>
        <v>2250</v>
      </c>
      <c r="L176" s="1165">
        <v>1080</v>
      </c>
      <c r="M176" s="1165">
        <v>1200</v>
      </c>
      <c r="N176" s="1165">
        <v>2250</v>
      </c>
      <c r="O176" s="1106">
        <f>N176-L176</f>
        <v>1170</v>
      </c>
      <c r="P176" s="1106"/>
      <c r="Q176" s="270" t="s">
        <v>2566</v>
      </c>
    </row>
    <row r="177" spans="1:19" s="1161" customFormat="1" ht="34.5" customHeight="1">
      <c r="A177" s="1095" t="s">
        <v>125</v>
      </c>
      <c r="B177" s="1141" t="s">
        <v>1772</v>
      </c>
      <c r="C177" s="270"/>
      <c r="D177" s="1134"/>
      <c r="E177" s="1134"/>
      <c r="F177" s="1134"/>
      <c r="G177" s="1134"/>
      <c r="H177" s="1134"/>
      <c r="I177" s="1134"/>
      <c r="J177" s="1143">
        <f>J178</f>
        <v>27000</v>
      </c>
      <c r="K177" s="1143">
        <f t="shared" ref="K177:P177" si="36">K178</f>
        <v>24300</v>
      </c>
      <c r="L177" s="1143">
        <f t="shared" si="36"/>
        <v>22500</v>
      </c>
      <c r="M177" s="1143">
        <f t="shared" si="36"/>
        <v>17095</v>
      </c>
      <c r="N177" s="1143">
        <f t="shared" si="36"/>
        <v>22500</v>
      </c>
      <c r="O177" s="1143">
        <f t="shared" si="36"/>
        <v>1690</v>
      </c>
      <c r="P177" s="1143">
        <f t="shared" si="36"/>
        <v>1690</v>
      </c>
      <c r="Q177" s="1175"/>
    </row>
    <row r="178" spans="1:19" s="1100" customFormat="1" ht="34.5" customHeight="1">
      <c r="A178" s="1095"/>
      <c r="B178" s="1118" t="s">
        <v>3223</v>
      </c>
      <c r="C178" s="270" t="s">
        <v>89</v>
      </c>
      <c r="D178" s="1134"/>
      <c r="E178" s="1134"/>
      <c r="F178" s="1134"/>
      <c r="G178" s="1134"/>
      <c r="H178" s="1134"/>
      <c r="I178" s="1134"/>
      <c r="J178" s="1119">
        <f>SUM(J180:J186)</f>
        <v>27000</v>
      </c>
      <c r="K178" s="1119">
        <f t="shared" ref="K178:P178" si="37">SUM(K180:K186)</f>
        <v>24300</v>
      </c>
      <c r="L178" s="1119">
        <f t="shared" si="37"/>
        <v>22500</v>
      </c>
      <c r="M178" s="1119">
        <f t="shared" si="37"/>
        <v>17095</v>
      </c>
      <c r="N178" s="1119">
        <f t="shared" si="37"/>
        <v>22500</v>
      </c>
      <c r="O178" s="1119">
        <f t="shared" si="37"/>
        <v>1690</v>
      </c>
      <c r="P178" s="1119">
        <f t="shared" si="37"/>
        <v>1690</v>
      </c>
      <c r="Q178" s="1134"/>
    </row>
    <row r="179" spans="1:19" s="1100" customFormat="1" ht="46.5" customHeight="1">
      <c r="A179" s="1095"/>
      <c r="B179" s="1103" t="s">
        <v>685</v>
      </c>
      <c r="C179" s="270"/>
      <c r="D179" s="1134"/>
      <c r="E179" s="1134"/>
      <c r="F179" s="1134"/>
      <c r="G179" s="1134"/>
      <c r="H179" s="1134"/>
      <c r="I179" s="1134"/>
      <c r="J179" s="1119"/>
      <c r="K179" s="1119"/>
      <c r="L179" s="1119"/>
      <c r="M179" s="1119"/>
      <c r="N179" s="1119"/>
      <c r="O179" s="1119"/>
      <c r="P179" s="1119"/>
      <c r="Q179" s="1134"/>
    </row>
    <row r="180" spans="1:19" s="1100" customFormat="1" ht="81" customHeight="1">
      <c r="A180" s="1104">
        <v>1</v>
      </c>
      <c r="B180" s="208" t="s">
        <v>3224</v>
      </c>
      <c r="C180" s="270" t="s">
        <v>89</v>
      </c>
      <c r="D180" s="270">
        <v>7890621</v>
      </c>
      <c r="E180" s="270" t="s">
        <v>3225</v>
      </c>
      <c r="F180" s="270" t="s">
        <v>3223</v>
      </c>
      <c r="G180" s="270" t="s">
        <v>3226</v>
      </c>
      <c r="H180" s="270" t="s">
        <v>673</v>
      </c>
      <c r="I180" s="270" t="s">
        <v>3227</v>
      </c>
      <c r="J180" s="1105">
        <v>2000</v>
      </c>
      <c r="K180" s="1105">
        <f t="shared" si="35"/>
        <v>1800</v>
      </c>
      <c r="L180" s="1106">
        <v>1800</v>
      </c>
      <c r="M180" s="1106">
        <f>1400+372</f>
        <v>1772</v>
      </c>
      <c r="N180" s="1106">
        <v>1772</v>
      </c>
      <c r="O180" s="1106"/>
      <c r="P180" s="1106">
        <f t="shared" ref="P180:P185" si="38">L180-N180</f>
        <v>28</v>
      </c>
      <c r="Q180" s="1112" t="s">
        <v>2243</v>
      </c>
    </row>
    <row r="181" spans="1:19" s="1108" customFormat="1" ht="37.5">
      <c r="A181" s="1104">
        <v>2</v>
      </c>
      <c r="B181" s="1151" t="s">
        <v>3228</v>
      </c>
      <c r="C181" s="270" t="s">
        <v>89</v>
      </c>
      <c r="D181" s="270">
        <v>7966084</v>
      </c>
      <c r="E181" s="270" t="s">
        <v>687</v>
      </c>
      <c r="F181" s="270" t="s">
        <v>3223</v>
      </c>
      <c r="G181" s="270" t="s">
        <v>3226</v>
      </c>
      <c r="H181" s="270" t="s">
        <v>1318</v>
      </c>
      <c r="I181" s="270" t="s">
        <v>3229</v>
      </c>
      <c r="J181" s="1176">
        <v>1350</v>
      </c>
      <c r="K181" s="1105">
        <f t="shared" si="35"/>
        <v>1215</v>
      </c>
      <c r="L181" s="1106">
        <v>1215</v>
      </c>
      <c r="M181" s="1106">
        <f>1000+120</f>
        <v>1120</v>
      </c>
      <c r="N181" s="1106">
        <v>1120</v>
      </c>
      <c r="O181" s="1106"/>
      <c r="P181" s="1106">
        <f t="shared" si="38"/>
        <v>95</v>
      </c>
      <c r="Q181" s="1112" t="s">
        <v>2243</v>
      </c>
    </row>
    <row r="182" spans="1:19" s="1108" customFormat="1" ht="37.5">
      <c r="A182" s="1104">
        <v>3</v>
      </c>
      <c r="B182" s="1151" t="s">
        <v>3230</v>
      </c>
      <c r="C182" s="270" t="s">
        <v>89</v>
      </c>
      <c r="D182" s="469">
        <v>7966085</v>
      </c>
      <c r="E182" s="270" t="s">
        <v>687</v>
      </c>
      <c r="F182" s="270" t="s">
        <v>3223</v>
      </c>
      <c r="G182" s="270" t="s">
        <v>3226</v>
      </c>
      <c r="H182" s="270" t="s">
        <v>1318</v>
      </c>
      <c r="I182" s="270" t="s">
        <v>3231</v>
      </c>
      <c r="J182" s="1165">
        <v>3000</v>
      </c>
      <c r="K182" s="1105">
        <f t="shared" si="35"/>
        <v>2700</v>
      </c>
      <c r="L182" s="1106">
        <v>2700</v>
      </c>
      <c r="M182" s="1106">
        <f>2000+330</f>
        <v>2330</v>
      </c>
      <c r="N182" s="1106">
        <v>2330</v>
      </c>
      <c r="O182" s="1106"/>
      <c r="P182" s="1106">
        <f t="shared" si="38"/>
        <v>370</v>
      </c>
      <c r="Q182" s="1112" t="s">
        <v>2243</v>
      </c>
    </row>
    <row r="183" spans="1:19" s="1126" customFormat="1" ht="37.5">
      <c r="A183" s="1104">
        <v>4</v>
      </c>
      <c r="B183" s="1151" t="s">
        <v>3232</v>
      </c>
      <c r="C183" s="270" t="s">
        <v>89</v>
      </c>
      <c r="D183" s="469">
        <v>7890621</v>
      </c>
      <c r="E183" s="846" t="s">
        <v>2864</v>
      </c>
      <c r="F183" s="1129" t="s">
        <v>3223</v>
      </c>
      <c r="G183" s="1177"/>
      <c r="H183" s="1104" t="s">
        <v>1480</v>
      </c>
      <c r="I183" s="270" t="s">
        <v>3233</v>
      </c>
      <c r="J183" s="1131">
        <v>2150</v>
      </c>
      <c r="K183" s="1105">
        <f t="shared" si="35"/>
        <v>1935</v>
      </c>
      <c r="L183" s="1178">
        <v>1935</v>
      </c>
      <c r="M183" s="1178">
        <f>1525</f>
        <v>1525</v>
      </c>
      <c r="N183" s="1178">
        <v>1525</v>
      </c>
      <c r="O183" s="1106"/>
      <c r="P183" s="1106">
        <f t="shared" si="38"/>
        <v>410</v>
      </c>
      <c r="Q183" s="1112" t="s">
        <v>2243</v>
      </c>
    </row>
    <row r="184" spans="1:19" s="1126" customFormat="1" ht="87.75" customHeight="1">
      <c r="A184" s="1104">
        <v>5</v>
      </c>
      <c r="B184" s="201" t="s">
        <v>3234</v>
      </c>
      <c r="C184" s="270" t="s">
        <v>89</v>
      </c>
      <c r="D184" s="469">
        <v>7966084</v>
      </c>
      <c r="E184" s="846" t="s">
        <v>2864</v>
      </c>
      <c r="F184" s="1129" t="s">
        <v>3223</v>
      </c>
      <c r="G184" s="270"/>
      <c r="H184" s="1179" t="s">
        <v>1480</v>
      </c>
      <c r="I184" s="1104" t="s">
        <v>3235</v>
      </c>
      <c r="J184" s="1149">
        <v>7300</v>
      </c>
      <c r="K184" s="1105">
        <f t="shared" si="35"/>
        <v>6570</v>
      </c>
      <c r="L184" s="467">
        <v>6570</v>
      </c>
      <c r="M184" s="467">
        <f>2548+2000</f>
        <v>4548</v>
      </c>
      <c r="N184" s="467">
        <v>5981</v>
      </c>
      <c r="O184" s="1106"/>
      <c r="P184" s="1106">
        <f t="shared" si="38"/>
        <v>589</v>
      </c>
      <c r="Q184" s="1112" t="s">
        <v>2243</v>
      </c>
    </row>
    <row r="185" spans="1:19" s="1126" customFormat="1" ht="37.5">
      <c r="A185" s="1104">
        <v>6</v>
      </c>
      <c r="B185" s="201" t="s">
        <v>3236</v>
      </c>
      <c r="C185" s="270" t="s">
        <v>89</v>
      </c>
      <c r="D185" s="469">
        <v>7966085</v>
      </c>
      <c r="E185" s="846" t="s">
        <v>2864</v>
      </c>
      <c r="F185" s="1129" t="s">
        <v>3223</v>
      </c>
      <c r="G185" s="270"/>
      <c r="H185" s="1179" t="s">
        <v>1480</v>
      </c>
      <c r="I185" s="270" t="s">
        <v>3237</v>
      </c>
      <c r="J185" s="1149">
        <v>9200</v>
      </c>
      <c r="K185" s="1105">
        <f t="shared" si="35"/>
        <v>8280</v>
      </c>
      <c r="L185" s="467">
        <v>8280</v>
      </c>
      <c r="M185" s="467">
        <f>2800+3000</f>
        <v>5800</v>
      </c>
      <c r="N185" s="467">
        <v>8082</v>
      </c>
      <c r="O185" s="1106"/>
      <c r="P185" s="1106">
        <f t="shared" si="38"/>
        <v>198</v>
      </c>
      <c r="Q185" s="1112" t="s">
        <v>2243</v>
      </c>
    </row>
    <row r="186" spans="1:19" s="1126" customFormat="1" ht="37.5">
      <c r="A186" s="1104">
        <v>7</v>
      </c>
      <c r="B186" s="201" t="s">
        <v>3238</v>
      </c>
      <c r="C186" s="270" t="s">
        <v>89</v>
      </c>
      <c r="D186" s="469"/>
      <c r="E186" s="270" t="s">
        <v>2872</v>
      </c>
      <c r="F186" s="1129" t="s">
        <v>3223</v>
      </c>
      <c r="G186" s="270"/>
      <c r="H186" s="1179" t="s">
        <v>2956</v>
      </c>
      <c r="I186" s="270"/>
      <c r="J186" s="1149">
        <v>2000</v>
      </c>
      <c r="K186" s="1105">
        <f t="shared" si="35"/>
        <v>1800</v>
      </c>
      <c r="L186" s="467"/>
      <c r="M186" s="467"/>
      <c r="N186" s="467">
        <v>1690</v>
      </c>
      <c r="O186" s="1106">
        <v>1690</v>
      </c>
      <c r="P186" s="1106"/>
      <c r="Q186" s="270" t="s">
        <v>2566</v>
      </c>
    </row>
    <row r="187" spans="1:19" s="1100" customFormat="1" ht="75" customHeight="1">
      <c r="A187" s="1134" t="s">
        <v>133</v>
      </c>
      <c r="B187" s="1141" t="s">
        <v>3239</v>
      </c>
      <c r="C187" s="1141"/>
      <c r="D187" s="1134"/>
      <c r="E187" s="1134" t="s">
        <v>3240</v>
      </c>
      <c r="F187" s="1134"/>
      <c r="G187" s="1134"/>
      <c r="H187" s="1180"/>
      <c r="I187" s="1180"/>
      <c r="J187" s="1181"/>
      <c r="K187" s="1143"/>
      <c r="L187" s="1182">
        <v>12007</v>
      </c>
      <c r="M187" s="1182"/>
      <c r="N187" s="1182">
        <v>12007</v>
      </c>
      <c r="O187" s="1182"/>
      <c r="P187" s="1182"/>
      <c r="Q187" s="1134"/>
      <c r="S187" s="1099"/>
    </row>
    <row r="188" spans="1:19" s="1126" customFormat="1">
      <c r="A188" s="1398" t="s">
        <v>3241</v>
      </c>
      <c r="B188" s="1398"/>
      <c r="C188" s="1398"/>
      <c r="D188" s="1398"/>
      <c r="E188" s="1398"/>
      <c r="F188" s="1398"/>
      <c r="G188" s="1398"/>
      <c r="H188" s="1398"/>
      <c r="I188" s="1398"/>
      <c r="J188" s="1398"/>
      <c r="K188" s="1398"/>
      <c r="L188" s="1398"/>
      <c r="M188" s="1398"/>
      <c r="N188" s="1398"/>
      <c r="O188" s="1398"/>
      <c r="P188" s="1398"/>
      <c r="Q188" s="1398"/>
    </row>
    <row r="189" spans="1:19" s="1126" customFormat="1">
      <c r="D189" s="1183"/>
    </row>
    <row r="190" spans="1:19" s="1126" customFormat="1">
      <c r="A190" s="1183"/>
      <c r="D190" s="1183"/>
      <c r="F190" s="1183"/>
      <c r="G190" s="1183"/>
      <c r="H190" s="1183"/>
      <c r="I190" s="1183"/>
      <c r="J190" s="1184"/>
      <c r="K190" s="1185"/>
      <c r="L190" s="1185"/>
      <c r="M190" s="1185"/>
      <c r="N190" s="1185"/>
      <c r="O190" s="1185"/>
      <c r="P190" s="1185"/>
      <c r="Q190" s="1183"/>
    </row>
    <row r="191" spans="1:19" s="1126" customFormat="1">
      <c r="A191" s="1183"/>
      <c r="D191" s="1183"/>
      <c r="F191" s="1183"/>
      <c r="G191" s="1183"/>
      <c r="H191" s="1183"/>
      <c r="I191" s="1183"/>
      <c r="J191" s="1184"/>
      <c r="K191" s="1185"/>
      <c r="L191" s="1185"/>
      <c r="M191" s="1185"/>
      <c r="N191" s="1185"/>
      <c r="O191" s="1185"/>
      <c r="P191" s="1185"/>
      <c r="Q191" s="1183"/>
    </row>
    <row r="192" spans="1:19" s="1126" customFormat="1">
      <c r="A192" s="1183"/>
      <c r="D192" s="1183"/>
      <c r="F192" s="1183"/>
      <c r="G192" s="1183"/>
      <c r="H192" s="1183"/>
      <c r="I192" s="1183"/>
      <c r="J192" s="1184"/>
      <c r="K192" s="1185"/>
      <c r="L192" s="1185"/>
      <c r="M192" s="1185"/>
      <c r="N192" s="1185"/>
      <c r="O192" s="1185"/>
      <c r="P192" s="1185"/>
      <c r="Q192" s="1183"/>
    </row>
    <row r="193" s="1126" customFormat="1"/>
    <row r="194" s="1126" customFormat="1"/>
    <row r="195" s="1126" customFormat="1"/>
    <row r="196" s="1126" customFormat="1"/>
    <row r="197" s="1126" customFormat="1"/>
    <row r="198" s="1126" customFormat="1"/>
    <row r="199" s="1126" customFormat="1"/>
    <row r="200" s="1126" customFormat="1"/>
    <row r="201" s="1126" customFormat="1"/>
    <row r="202" s="1126" customFormat="1"/>
    <row r="203" s="1126" customFormat="1"/>
    <row r="204" s="1126" customFormat="1"/>
    <row r="205" s="1126" customFormat="1"/>
    <row r="206" s="1126" customFormat="1"/>
    <row r="207" s="1126" customFormat="1"/>
    <row r="208" s="1084" customFormat="1"/>
    <row r="209" s="1084" customFormat="1"/>
    <row r="210" s="1084" customFormat="1"/>
    <row r="211" s="1084" customFormat="1"/>
    <row r="212" s="1084" customFormat="1"/>
    <row r="213" s="1084" customFormat="1"/>
    <row r="214" s="1084" customFormat="1"/>
    <row r="215" s="1084" customFormat="1"/>
    <row r="216" s="1084" customFormat="1"/>
    <row r="217" s="1084" customFormat="1"/>
    <row r="218" s="1084" customFormat="1"/>
    <row r="219" s="1084" customFormat="1"/>
    <row r="220" s="1084" customFormat="1"/>
    <row r="221" s="1084" customFormat="1"/>
    <row r="222" s="1084" customFormat="1"/>
    <row r="223" s="1084" customFormat="1"/>
    <row r="224" s="1084" customFormat="1"/>
    <row r="225" s="1084" customFormat="1"/>
    <row r="226" s="1084" customFormat="1"/>
    <row r="227" s="1084" customFormat="1"/>
    <row r="228" s="1084" customFormat="1"/>
    <row r="229" s="1084" customFormat="1"/>
    <row r="230" s="1084" customFormat="1"/>
    <row r="231" s="1084" customFormat="1"/>
    <row r="232" s="1084" customFormat="1"/>
    <row r="233" s="1084" customFormat="1"/>
    <row r="234" s="1084" customFormat="1"/>
    <row r="235" s="1084" customFormat="1"/>
    <row r="236" s="1084" customFormat="1"/>
    <row r="237" s="1084" customFormat="1"/>
    <row r="238" s="1084" customFormat="1"/>
    <row r="239" s="1084" customFormat="1"/>
  </sheetData>
  <mergeCells count="20">
    <mergeCell ref="A1:Q1"/>
    <mergeCell ref="A2:Q2"/>
    <mergeCell ref="A3:Q3"/>
    <mergeCell ref="K4:Q4"/>
    <mergeCell ref="A5:A7"/>
    <mergeCell ref="B5:B7"/>
    <mergeCell ref="C5:C7"/>
    <mergeCell ref="D5:D7"/>
    <mergeCell ref="E5:E7"/>
    <mergeCell ref="F5:F7"/>
    <mergeCell ref="Q5:Q7"/>
    <mergeCell ref="N6:N7"/>
    <mergeCell ref="O6:P6"/>
    <mergeCell ref="A188:Q188"/>
    <mergeCell ref="G5:G7"/>
    <mergeCell ref="H5:H7"/>
    <mergeCell ref="I5:K6"/>
    <mergeCell ref="L5:L7"/>
    <mergeCell ref="M5:M7"/>
    <mergeCell ref="N5:P5"/>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D701A7-39C3-4343-BD25-9CACA4F6FA31}"/>
</file>

<file path=customXml/itemProps2.xml><?xml version="1.0" encoding="utf-8"?>
<ds:datastoreItem xmlns:ds="http://schemas.openxmlformats.org/officeDocument/2006/customXml" ds:itemID="{C728C77E-97E9-4395-87DF-433ED1993C9D}"/>
</file>

<file path=customXml/itemProps3.xml><?xml version="1.0" encoding="utf-8"?>
<ds:datastoreItem xmlns:ds="http://schemas.openxmlformats.org/officeDocument/2006/customXml" ds:itemID="{7F3BD22B-6DE1-4709-BEC5-A3F762EF95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32</vt:i4>
      </vt:variant>
    </vt:vector>
  </HeadingPairs>
  <TitlesOfParts>
    <vt:vector size="52" baseType="lpstr">
      <vt:lpstr>Bieu 2 TH nganh, linh vuc</vt:lpstr>
      <vt:lpstr>Biểu tổng</vt:lpstr>
      <vt:lpstr>PLI.Candoi21.25</vt:lpstr>
      <vt:lpstr>Bieu 7 PPP</vt:lpstr>
      <vt:lpstr>Bieu 9 de lai</vt:lpstr>
      <vt:lpstr>Bieu 10 TDDTPT</vt:lpstr>
      <vt:lpstr>Bieu 11 TPCQDP</vt:lpstr>
      <vt:lpstr>PLII.XSKT21.25</vt:lpstr>
      <vt:lpstr>Bieu15 da ky</vt:lpstr>
      <vt:lpstr>Bieu16 chua ky</vt:lpstr>
      <vt:lpstr>Bieu17 keu goi</vt:lpstr>
      <vt:lpstr>BM18 Chi tiet TPCP</vt:lpstr>
      <vt:lpstr>BC trung han DP</vt:lpstr>
      <vt:lpstr>Bieu25 TH nganh, linh vuc</vt:lpstr>
      <vt:lpstr>BM25</vt:lpstr>
      <vt:lpstr>PLII.a NTM 1000 ty</vt:lpstr>
      <vt:lpstr>PLII.b.Tất toán</vt:lpstr>
      <vt:lpstr>PLII.c.Thay sach</vt:lpstr>
      <vt:lpstr>PLIII. NTM vốn TƯ</vt:lpstr>
      <vt:lpstr>PLIV. GN vốn TƯ</vt:lpstr>
      <vt:lpstr>'BC trung han DP'!Print_Area</vt:lpstr>
      <vt:lpstr>'Bieu 10 TDDTPT'!Print_Area</vt:lpstr>
      <vt:lpstr>'Bieu 11 TPCQDP'!Print_Area</vt:lpstr>
      <vt:lpstr>'Bieu 2 TH nganh, linh vuc'!Print_Area</vt:lpstr>
      <vt:lpstr>'Bieu 7 PPP'!Print_Area</vt:lpstr>
      <vt:lpstr>'Bieu 9 de lai'!Print_Area</vt:lpstr>
      <vt:lpstr>'Bieu15 da ky'!Print_Area</vt:lpstr>
      <vt:lpstr>'Bieu16 chua ky'!Print_Area</vt:lpstr>
      <vt:lpstr>'Bieu17 keu goi'!Print_Area</vt:lpstr>
      <vt:lpstr>'Bieu25 TH nganh, linh vuc'!Print_Area</vt:lpstr>
      <vt:lpstr>'BM18 Chi tiet TPCP'!Print_Area</vt:lpstr>
      <vt:lpstr>PLI.Candoi21.25!Print_Area</vt:lpstr>
      <vt:lpstr>'PLII.a NTM 1000 ty'!Print_Area</vt:lpstr>
      <vt:lpstr>'PLII.c.Thay sach'!Print_Area</vt:lpstr>
      <vt:lpstr>PLII.XSKT21.25!Print_Area</vt:lpstr>
      <vt:lpstr>'BC trung han DP'!Print_Titles</vt:lpstr>
      <vt:lpstr>'Bieu 10 TDDTPT'!Print_Titles</vt:lpstr>
      <vt:lpstr>'Bieu 11 TPCQDP'!Print_Titles</vt:lpstr>
      <vt:lpstr>'Bieu 2 TH nganh, linh vuc'!Print_Titles</vt:lpstr>
      <vt:lpstr>'Bieu 7 PPP'!Print_Titles</vt:lpstr>
      <vt:lpstr>'Bieu 9 de lai'!Print_Titles</vt:lpstr>
      <vt:lpstr>'Bieu15 da ky'!Print_Titles</vt:lpstr>
      <vt:lpstr>'Bieu16 chua ky'!Print_Titles</vt:lpstr>
      <vt:lpstr>'Bieu17 keu goi'!Print_Titles</vt:lpstr>
      <vt:lpstr>'Bieu25 TH nganh, linh vuc'!Print_Titles</vt:lpstr>
      <vt:lpstr>'BM18 Chi tiet TPCP'!Print_Titles</vt:lpstr>
      <vt:lpstr>'BM25'!Print_Titles</vt:lpstr>
      <vt:lpstr>PLI.Candoi21.25!Print_Titles</vt:lpstr>
      <vt:lpstr>'PLII.a NTM 1000 ty'!Print_Titles</vt:lpstr>
      <vt:lpstr>'PLII.b.Tất toán'!Print_Titles</vt:lpstr>
      <vt:lpstr>'PLII.c.Thay sach'!Print_Titles</vt:lpstr>
      <vt:lpstr>PLII.XSKT21.25!Print_Titles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ismail - [2010]</cp:lastModifiedBy>
  <cp:lastPrinted>2024-08-06T00:57:57Z</cp:lastPrinted>
  <dcterms:created xsi:type="dcterms:W3CDTF">2016-08-23T02:04:00Z</dcterms:created>
  <dcterms:modified xsi:type="dcterms:W3CDTF">2024-08-15T08:55:08Z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A538D49FE27346C0AF74D070D62070A3</vt:lpwstr>
  </property>
  <property fmtid="{D5CDD505-2E9C-101B-9397-08002B2CF9AE}" pid="3" name="KSOProductBuildVer">
    <vt:lpwstr>1033-11.2.0.10296</vt:lpwstr>
  </property>
</Properties>
</file>